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updateLinks="never" codeName="ThisWorkbook"/>
  <bookViews>
    <workbookView xWindow="9285" yWindow="-15" windowWidth="2745" windowHeight="6930" tabRatio="983" firstSheet="1" activeTab="1"/>
  </bookViews>
  <sheets>
    <sheet name="CRYSTAL_PERSIST" sheetId="113" state="veryHidden" r:id="rId1"/>
    <sheet name="汇总" sheetId="120" r:id="rId2"/>
    <sheet name="硬件" sheetId="88" r:id="rId3"/>
    <sheet name="软件" sheetId="89" r:id="rId4"/>
    <sheet name="执行成本" sheetId="115" r:id="rId5"/>
    <sheet name="Lookups" sheetId="3" state="hidden" r:id="rId6"/>
    <sheet name="Call Center运营支持" sheetId="90" r:id="rId7"/>
    <sheet name="应用运营支持" sheetId="121" r:id="rId8"/>
    <sheet name="IDC基础设施运营支持" sheetId="122" r:id="rId9"/>
    <sheet name="Comments" sheetId="114" state="hidden" r:id="rId10"/>
    <sheet name="Lookups REF" sheetId="40" state="hidden" r:id="rId11"/>
    <sheet name="Lookups function" sheetId="42" state="hidden" r:id="rId12"/>
    <sheet name="labour" sheetId="84" state="hidden" r:id="rId13"/>
    <sheet name="types" sheetId="87" state="hidden" r:id="rId14"/>
    <sheet name="non labour" sheetId="64" state="hidden" r:id="rId15"/>
    <sheet name="band" sheetId="68" state="hidden" r:id="rId16"/>
  </sheets>
  <definedNames>
    <definedName name="_1.0">Lookups!#REF!</definedName>
    <definedName name="_xlnm._FilterDatabase" localSheetId="14" hidden="1">'non labour'!$A$2:$F$86</definedName>
    <definedName name="_xlnm._FilterDatabase" localSheetId="13" hidden="1">types!#REF!</definedName>
    <definedName name="_Order1" hidden="1">255</definedName>
    <definedName name="_Order2" hidden="1">255</definedName>
    <definedName name="_SL2009">labour!$B$3:$B$35</definedName>
    <definedName name="_Yr1">'Lookups REF'!$G$127</definedName>
    <definedName name="_YR10">'Lookups REF'!$P$127</definedName>
    <definedName name="_YR2">'Lookups REF'!$H$127</definedName>
    <definedName name="_YR3">'Lookups REF'!$I$127</definedName>
    <definedName name="_YR4">'Lookups REF'!$J$127</definedName>
    <definedName name="_YR5">'Lookups REF'!$K$127</definedName>
    <definedName name="_YR6">'Lookups REF'!$L$127</definedName>
    <definedName name="_YR7">'Lookups REF'!$M$127</definedName>
    <definedName name="_YR8">'Lookups REF'!$N$127</definedName>
    <definedName name="_YR9">'Lookups REF'!$O$127</definedName>
    <definedName name="AS400s">#REF!</definedName>
    <definedName name="AUXRATE">Lookups!$C$197</definedName>
    <definedName name="band">band!$A$2:$B$72</definedName>
    <definedName name="BaseMths">'Lookups REF'!$B$112</definedName>
    <definedName name="BILLABLE_HRS">Lookups!$B$126</definedName>
    <definedName name="BUSTYPE">types!$A$2:$A$6</definedName>
    <definedName name="CANXRATE">Lookups!$C$204</definedName>
    <definedName name="cc_ILS_ALL">#REF!</definedName>
    <definedName name="CHXRATE">Lookups!$C$202</definedName>
    <definedName name="Clientinfo">'Lookups REF'!$A$2:$I$109</definedName>
    <definedName name="CLIENTRFSREF">#REF!</definedName>
    <definedName name="Clients">'Lookups REF'!$A$2:$A$109</definedName>
    <definedName name="ClientSelect">#REF!</definedName>
    <definedName name="ClientSelect3">LEFT(#REF!,3)</definedName>
    <definedName name="ClientSelect7">LEFT(#REF!,7)</definedName>
    <definedName name="ConYrHWTotals">硬件!#REF!</definedName>
    <definedName name="ConYrSWTotals">软件!#REF!</definedName>
    <definedName name="CountryCode">Lookups!$B$105:$B$118</definedName>
    <definedName name="CPUP">#REF!</definedName>
    <definedName name="CPUX">#REF!</definedName>
    <definedName name="CSC_FARM">'Call Center运营支持'!$K$9:$L$20</definedName>
    <definedName name="CSC_ICD">'Call Center运营支持'!#REF!</definedName>
    <definedName name="currencies">Lookups!$A$120:$A$122</definedName>
    <definedName name="CustNo">#REF!</definedName>
    <definedName name="DCMS_platform">#REF!</definedName>
    <definedName name="dcmstot">#REF!</definedName>
    <definedName name="DCSCIS_FARM">#REF!</definedName>
    <definedName name="DCSCIS_ICD">#REF!</definedName>
    <definedName name="DIGI">#REF!</definedName>
    <definedName name="DIGMR">#REF!</definedName>
    <definedName name="DURATION">#REF!</definedName>
    <definedName name="EUROXRATE">Lookups!$C$201</definedName>
    <definedName name="_xlnm.Extract" localSheetId="13">types!#REF!</definedName>
    <definedName name="FOREXRATECODE">Lookups!$B$138:$B$190</definedName>
    <definedName name="FOREXRATETABLE">Lookups!$B$138:$H$190</definedName>
    <definedName name="FTE_Rate">Lookups!$D$26:$D$126</definedName>
    <definedName name="Function">'Lookups function'!$A$1:$A$117</definedName>
    <definedName name="GSD331_AP_IN">#REF!</definedName>
    <definedName name="GSD331_AP_MF">#REF!</definedName>
    <definedName name="GSD331_AP_MR">#REF!</definedName>
    <definedName name="GSD331_AP_NS">#REF!</definedName>
    <definedName name="GSD331_AP_Total">SUM(GSD331_AP_IN, GSD331_AP_MR,GSD331_AP_MF,GSD331_AP_NS)</definedName>
    <definedName name="GSD332_AP_IN">#REF!</definedName>
    <definedName name="GSD332_AP_MF">#REF!</definedName>
    <definedName name="GSD332_AP_MR">#REF!</definedName>
    <definedName name="GSD332_AP_NS">#REF!</definedName>
    <definedName name="GSD332_AP_Total">SUM(GSD332_AP_IN,GSD332_AP_MR,GSD332_AP_MF,GSD332_AP_NS)</definedName>
    <definedName name="HrsTable">Lookups!$B$3:$E$125</definedName>
    <definedName name="HWLeaseNames">'Lookups REF'!$A$138:$A$149</definedName>
    <definedName name="HWLeaseRates">'Lookups REF'!$A$137:$C$148</definedName>
    <definedName name="HWType">types!$A$29:$A$33</definedName>
    <definedName name="HWTypeTab">types!$A$29:$E$33</definedName>
    <definedName name="IBMRFSREF">#REF!</definedName>
    <definedName name="INTEL_DBA">SUM(#REF!,#REF!,#REF!,#REF!)</definedName>
    <definedName name="INTEL_EBIZ">SUM(#REF!)</definedName>
    <definedName name="INTEL_FARM">#REF!</definedName>
    <definedName name="INTEL_ICD">#REF!</definedName>
    <definedName name="INXRATE">Lookups!$C$205</definedName>
    <definedName name="ISEC_TS_IN">#REF!</definedName>
    <definedName name="ISEC_TS_MF">#REF!</definedName>
    <definedName name="ISEC_TS_MR">#REF!</definedName>
    <definedName name="ISEC_TS_NS">#REF!</definedName>
    <definedName name="ISEC_TS_Total">SUM(ISEC_TS_IN,ISEC_TS_MR,ISEC_TS_MF,ISEC_TS_NS)</definedName>
    <definedName name="labour">labour!$A$3:$D$42</definedName>
    <definedName name="labourSC">labour!$A$3:$A$42</definedName>
    <definedName name="lintels">SUM(#REF!,#REF!,#REF!)</definedName>
    <definedName name="MAINFRAME_FARM">#REF!</definedName>
    <definedName name="MAINFRAME_ICD">#REF!</definedName>
    <definedName name="mantest">#REF!</definedName>
    <definedName name="MFLpars">#REF!</definedName>
    <definedName name="MGR">Lookups!$C$100</definedName>
    <definedName name="MIDRANGE_FARM">#REF!</definedName>
    <definedName name="MIDRANGE_ICD">#REF!</definedName>
    <definedName name="mips">#REF!</definedName>
    <definedName name="MR_DBA">SUM(#REF!,#REF!,#REF!,#REF!)</definedName>
    <definedName name="MR_EBIZ">SUM(#REF!)</definedName>
    <definedName name="MthsOngoing">'Lookups REF'!$D:$D</definedName>
    <definedName name="multicountry">Lookups!$A$137:$G$190</definedName>
    <definedName name="NEDXRATE">Lookups!$C$201</definedName>
    <definedName name="NETWORK_FARM">#REF!</definedName>
    <definedName name="NETWORK_ICD">#REF!</definedName>
    <definedName name="New_Farm">执行成本!$P$3:$AC$75</definedName>
    <definedName name="New_Infra">#REF!</definedName>
    <definedName name="NMS_DEVICES">#REF!</definedName>
    <definedName name="nonlabour">'non labour'!$A$3:$F$143</definedName>
    <definedName name="nonlabourSC">labour!$G$2:$G$26</definedName>
    <definedName name="Number_of_months">#REF!</definedName>
    <definedName name="OCC">Lookups!$A$133</definedName>
    <definedName name="ONGOINGDATE">#REF!</definedName>
    <definedName name="otc_tot">执行成本!$F$76</definedName>
    <definedName name="plux">SUM(#REF!)</definedName>
    <definedName name="Productivity">'Lookups REF'!$A$117</definedName>
    <definedName name="ProjectType">'Lookups REF'!$A$124:$A$133</definedName>
    <definedName name="ProjectTypes">types!$A$15:$A$26</definedName>
    <definedName name="PROJNAME">#REF!</definedName>
    <definedName name="pux">SUM(,#REF!,#REF!)</definedName>
    <definedName name="RateCode">Lookups!$B$3:$B$98</definedName>
    <definedName name="RateCost">Lookups!$C$3:$C$126</definedName>
    <definedName name="RATED_FARM">#REF!</definedName>
    <definedName name="RATED_ICD">#REF!</definedName>
    <definedName name="RateFTE">Lookups!$D$26:$D$103</definedName>
    <definedName name="rectypes">types!$A$9:$A$12</definedName>
    <definedName name="RISKCODE">#REF!</definedName>
    <definedName name="RiskRating">Lookups!$D$106:$D$115</definedName>
    <definedName name="RiskTable">Lookups!$D$106:$F$115</definedName>
    <definedName name="RSPROD">'Lookups REF'!$A$118</definedName>
    <definedName name="SAG">#REF!</definedName>
    <definedName name="SAXRATE">Lookups!$C$200</definedName>
    <definedName name="SEC_Cal_Trigger_Total">SUM('Lookups function'!$G$13:$H$13)</definedName>
    <definedName name="SEC_dcs">SUM(#REF!)</definedName>
    <definedName name="SEC_FREQ_CUST">'Lookups function'!$F$2:$H$10</definedName>
    <definedName name="SEC_FREQ_Defaults">'Lookups function'!$B$2:$D$10</definedName>
    <definedName name="SEC_FREQ_Overrides">'Lookups function'!$B$13:$D$52</definedName>
    <definedName name="SEC_INTEL">SUM(#REF!)</definedName>
    <definedName name="SEC_MF">SUM(#REF!)</definedName>
    <definedName name="SEC_MR">SUM(#REF!)</definedName>
    <definedName name="SEC_NW">SUM(#REF!)</definedName>
    <definedName name="SGXRATE">Lookups!$C$203</definedName>
    <definedName name="slaps">#REF!</definedName>
    <definedName name="SLNLC2009">labour!$G$2:$G$26</definedName>
    <definedName name="SPM_GSD331">#REF!</definedName>
    <definedName name="SPM_GSD332">#REF!</definedName>
    <definedName name="SPM_ISEC">#REF!</definedName>
    <definedName name="SPOT">Lookups!$B$192</definedName>
    <definedName name="SRMS">#REF!</definedName>
    <definedName name="SSECD">SUM(#REF!)</definedName>
    <definedName name="SSECI">SUM(#REF!)</definedName>
    <definedName name="SSECMF">SUM(#REF!)</definedName>
    <definedName name="SSECMR">SUM(#REF!)</definedName>
    <definedName name="SSECN">SUM(#REF!)</definedName>
    <definedName name="SSO_INT">SUM(#REF!,#REF!,#REF!)</definedName>
    <definedName name="SSO_MF">SUM(#REF!,#REF!)</definedName>
    <definedName name="SSO_MR">SUM(#REF!,#REF!,#REF!)</definedName>
    <definedName name="SSOALLI">SUM(#REF!,#REF!)</definedName>
    <definedName name="SSOALLMF">SUM(#REF!)</definedName>
    <definedName name="SSOALLMR">SUM(#REF!,#REF!)</definedName>
    <definedName name="SSOSI">SUM(#REF!)</definedName>
    <definedName name="SSOSMF">SUM(#REF!,#REF!)</definedName>
    <definedName name="SSOSMR">SUM(#REF!)</definedName>
    <definedName name="SSOTIM_INT">SUM(#REF!,#REF!,#REF!)</definedName>
    <definedName name="SSOTIM_MF">SUM(#REF!,#REF!)</definedName>
    <definedName name="SSOTIM_MR">SUM(#REF!,#REF!,#REF!)</definedName>
    <definedName name="SUAPS">#REF!</definedName>
    <definedName name="SULAPS">#REF!</definedName>
    <definedName name="swaps">#REF!</definedName>
    <definedName name="SWType">types!$A$36:$A$40</definedName>
    <definedName name="SWTypeTab">types!$A$36:$E$40</definedName>
    <definedName name="TCC">#REF!</definedName>
    <definedName name="TCV">#REF!</definedName>
    <definedName name="TXSTART">#REF!</definedName>
    <definedName name="UKXRATE">Lookups!$C$199</definedName>
    <definedName name="UNQID">#REF!</definedName>
    <definedName name="UP_all">SUM(UP_SIMPLE,UP_MEDIUM,UP_COMPLEX)</definedName>
    <definedName name="UP_COMPLEX">SUM(#REF!,#REF!)</definedName>
    <definedName name="UP_MEDIUM">SUM(#REF!,#REF!)</definedName>
    <definedName name="UP_SIMPLE">SUM(#REF!,#REF!)</definedName>
    <definedName name="US_RATECODE">Lookups!$B$144:$B$161</definedName>
    <definedName name="USTABLE">Lookups!$B$144:$E$161</definedName>
    <definedName name="USXRATE">Lookups!$B$137</definedName>
    <definedName name="UXL_COMPLEX">#REF!</definedName>
    <definedName name="UXL_MEDIUM">#REF!</definedName>
    <definedName name="UXL_SIMPLE">SUM(#REF!,#REF!)</definedName>
    <definedName name="UXW_ALL">SUM(UXW_SIMPLE,UXW_MEDIUM,UXW_COMPLEX,UXL_SIMPLE,UXL_MEDIUM,UXL_COMPLEX)</definedName>
    <definedName name="UXW_COMPLEX">#REF!</definedName>
    <definedName name="UXW_MEDIUM">#REF!</definedName>
    <definedName name="UXW_SIMPLE">SUM(#REF!,#REF!)</definedName>
    <definedName name="vmhost">#REF!</definedName>
    <definedName name="wbc_paix">#REF!</definedName>
    <definedName name="WBC_xLinux">SUM(#REF!)</definedName>
    <definedName name="wbc_xwin">SUM(#REF!)</definedName>
    <definedName name="Wintels">SUM(#REF!,#REF!,#REF!,#REF!)</definedName>
    <definedName name="YesorNo">Lookups!$A$130:$A$131</definedName>
    <definedName name="YR10SUM">#REF!</definedName>
    <definedName name="YR2SUM">#REF!</definedName>
    <definedName name="YR3SUM">#REF!</definedName>
    <definedName name="YR4SUM">#REF!</definedName>
    <definedName name="YR5SUM">#REF!</definedName>
    <definedName name="YR6SUM">#REF!</definedName>
    <definedName name="YR7SUM">#REF!</definedName>
    <definedName name="YR8SUM">#REF!</definedName>
    <definedName name="YR9SUM">#REF!</definedName>
    <definedName name="YrsOngoing">'Lookups REF'!$B$113</definedName>
    <definedName name="Z_E3DD4D9F_3853_4A3E_A1DD_4687F6A624BB_.wvu.Cols" hidden="1">#REF!</definedName>
    <definedName name="Z_E3DD4D9F_3853_4A3E_A1DD_4687F6A624BB_.wvu.PrintTitles" hidden="1">#REF!</definedName>
  </definedNames>
  <calcPr calcId="125725"/>
  <fileRecoveryPr autoRecover="0"/>
</workbook>
</file>

<file path=xl/calcChain.xml><?xml version="1.0" encoding="utf-8"?>
<calcChain xmlns="http://schemas.openxmlformats.org/spreadsheetml/2006/main">
  <c r="E25" i="122"/>
  <c r="H25" s="1"/>
  <c r="E26"/>
  <c r="H26" s="1"/>
  <c r="E24"/>
  <c r="H24" s="1"/>
  <c r="E23"/>
  <c r="G23" s="1"/>
  <c r="E28"/>
  <c r="I28" s="1"/>
  <c r="E27"/>
  <c r="I27" s="1"/>
  <c r="E22"/>
  <c r="G22" s="1"/>
  <c r="E21"/>
  <c r="J21" s="1"/>
  <c r="J17"/>
  <c r="I17"/>
  <c r="H17"/>
  <c r="G17"/>
  <c r="F17"/>
  <c r="J16"/>
  <c r="I16"/>
  <c r="H16"/>
  <c r="G16"/>
  <c r="F16"/>
  <c r="J15"/>
  <c r="I15"/>
  <c r="H15"/>
  <c r="G15"/>
  <c r="F15"/>
  <c r="J14"/>
  <c r="I14"/>
  <c r="H14"/>
  <c r="G14"/>
  <c r="F14"/>
  <c r="J22" i="121"/>
  <c r="J21"/>
  <c r="I21"/>
  <c r="H21"/>
  <c r="G21"/>
  <c r="F21"/>
  <c r="J20"/>
  <c r="I20"/>
  <c r="H20"/>
  <c r="G20"/>
  <c r="F20"/>
  <c r="J19"/>
  <c r="I19"/>
  <c r="H19"/>
  <c r="G19"/>
  <c r="F19"/>
  <c r="J18"/>
  <c r="I18"/>
  <c r="H18"/>
  <c r="G18"/>
  <c r="F18"/>
  <c r="E20"/>
  <c r="E19"/>
  <c r="E22"/>
  <c r="I22" s="1"/>
  <c r="E21"/>
  <c r="E18"/>
  <c r="J14"/>
  <c r="I14"/>
  <c r="H14"/>
  <c r="G14"/>
  <c r="F14"/>
  <c r="J13"/>
  <c r="I13"/>
  <c r="H13"/>
  <c r="G13"/>
  <c r="F13"/>
  <c r="J12"/>
  <c r="I12"/>
  <c r="H12"/>
  <c r="G12"/>
  <c r="F12"/>
  <c r="J11"/>
  <c r="I11"/>
  <c r="H11"/>
  <c r="G11"/>
  <c r="F11"/>
  <c r="J20" i="90"/>
  <c r="I20"/>
  <c r="H20"/>
  <c r="G20"/>
  <c r="F20"/>
  <c r="J19"/>
  <c r="I19"/>
  <c r="H19"/>
  <c r="G19"/>
  <c r="F19"/>
  <c r="J18"/>
  <c r="I18"/>
  <c r="H18"/>
  <c r="G18"/>
  <c r="F18"/>
  <c r="E19"/>
  <c r="E18"/>
  <c r="F43" i="115"/>
  <c r="F42"/>
  <c r="F72"/>
  <c r="F73"/>
  <c r="A136" i="64"/>
  <c r="A135"/>
  <c r="A134"/>
  <c r="A133"/>
  <c r="A132"/>
  <c r="A131"/>
  <c r="A128"/>
  <c r="A127"/>
  <c r="A110"/>
  <c r="A109"/>
  <c r="A108"/>
  <c r="A107"/>
  <c r="A101"/>
  <c r="H12" i="42"/>
  <c r="G12"/>
  <c r="H11"/>
  <c r="G11"/>
  <c r="H10"/>
  <c r="G10"/>
  <c r="H9"/>
  <c r="G9"/>
  <c r="H8"/>
  <c r="G8"/>
  <c r="H7"/>
  <c r="G7"/>
  <c r="H6"/>
  <c r="G6"/>
  <c r="H5"/>
  <c r="G5"/>
  <c r="H4"/>
  <c r="G4"/>
  <c r="H3"/>
  <c r="G3"/>
  <c r="H2"/>
  <c r="G2"/>
  <c r="F1"/>
  <c r="C142" i="40"/>
  <c r="C141"/>
  <c r="C140"/>
  <c r="C138"/>
  <c r="G133" s="1"/>
  <c r="B109"/>
  <c r="D109" s="1"/>
  <c r="B108"/>
  <c r="D108" s="1"/>
  <c r="B107"/>
  <c r="G107" s="1"/>
  <c r="D107" s="1"/>
  <c r="B106"/>
  <c r="G106" s="1"/>
  <c r="B105"/>
  <c r="D105" s="1"/>
  <c r="B104"/>
  <c r="D104" s="1"/>
  <c r="B103"/>
  <c r="G103" s="1"/>
  <c r="B102"/>
  <c r="B101"/>
  <c r="D101" s="1"/>
  <c r="B100"/>
  <c r="D100" s="1"/>
  <c r="B99"/>
  <c r="D99" s="1"/>
  <c r="B98"/>
  <c r="G98" s="1"/>
  <c r="B97"/>
  <c r="G97" s="1"/>
  <c r="B96"/>
  <c r="D96" s="1"/>
  <c r="B95"/>
  <c r="G95" s="1"/>
  <c r="B94"/>
  <c r="D94" s="1"/>
  <c r="B93"/>
  <c r="D93" s="1"/>
  <c r="B92"/>
  <c r="G92" s="1"/>
  <c r="B91"/>
  <c r="G91" s="1"/>
  <c r="B90"/>
  <c r="G90" s="1"/>
  <c r="B89"/>
  <c r="G89" s="1"/>
  <c r="B88"/>
  <c r="G88" s="1"/>
  <c r="B87"/>
  <c r="D87" s="1"/>
  <c r="B86"/>
  <c r="G86" s="1"/>
  <c r="B85"/>
  <c r="G85" s="1"/>
  <c r="B84"/>
  <c r="D84" s="1"/>
  <c r="B83"/>
  <c r="D83" s="1"/>
  <c r="B82"/>
  <c r="B81"/>
  <c r="D81" s="1"/>
  <c r="B80"/>
  <c r="B79"/>
  <c r="D79" s="1"/>
  <c r="B78"/>
  <c r="D78" s="1"/>
  <c r="B77"/>
  <c r="D77" s="1"/>
  <c r="B76"/>
  <c r="G76" s="1"/>
  <c r="B75"/>
  <c r="G75" s="1"/>
  <c r="B74"/>
  <c r="B73"/>
  <c r="D73" s="1"/>
  <c r="B72"/>
  <c r="G72" s="1"/>
  <c r="B71"/>
  <c r="B70"/>
  <c r="D70" s="1"/>
  <c r="B69"/>
  <c r="E68"/>
  <c r="B68"/>
  <c r="E67"/>
  <c r="B67"/>
  <c r="E66"/>
  <c r="B66"/>
  <c r="E65"/>
  <c r="B65"/>
  <c r="E64"/>
  <c r="B64"/>
  <c r="E63"/>
  <c r="B63"/>
  <c r="E62"/>
  <c r="B62"/>
  <c r="E61"/>
  <c r="B61"/>
  <c r="E60"/>
  <c r="B60"/>
  <c r="E59"/>
  <c r="B59"/>
  <c r="E58"/>
  <c r="B58"/>
  <c r="E57"/>
  <c r="B57"/>
  <c r="E56"/>
  <c r="B56"/>
  <c r="E55"/>
  <c r="B55"/>
  <c r="E54"/>
  <c r="B54"/>
  <c r="E53"/>
  <c r="B53"/>
  <c r="E52"/>
  <c r="B52"/>
  <c r="E51"/>
  <c r="B51"/>
  <c r="B50"/>
  <c r="G50" s="1"/>
  <c r="B49"/>
  <c r="G49" s="1"/>
  <c r="B48"/>
  <c r="G48" s="1"/>
  <c r="B47"/>
  <c r="B46"/>
  <c r="D46" s="1"/>
  <c r="B45"/>
  <c r="B44"/>
  <c r="D44" s="1"/>
  <c r="B43"/>
  <c r="B42"/>
  <c r="D42" s="1"/>
  <c r="B41"/>
  <c r="G41" s="1"/>
  <c r="B40"/>
  <c r="B39"/>
  <c r="D39" s="1"/>
  <c r="B38"/>
  <c r="G38" s="1"/>
  <c r="B37"/>
  <c r="G37" s="1"/>
  <c r="B36"/>
  <c r="G36" s="1"/>
  <c r="B35"/>
  <c r="B34"/>
  <c r="D34" s="1"/>
  <c r="B33"/>
  <c r="G33" s="1"/>
  <c r="B32"/>
  <c r="G32" s="1"/>
  <c r="B31"/>
  <c r="D31" s="1"/>
  <c r="B30"/>
  <c r="D30" s="1"/>
  <c r="B29"/>
  <c r="D29" s="1"/>
  <c r="B28"/>
  <c r="B27"/>
  <c r="D27" s="1"/>
  <c r="B26"/>
  <c r="B25"/>
  <c r="D25" s="1"/>
  <c r="B24"/>
  <c r="D24" s="1"/>
  <c r="B23"/>
  <c r="D23" s="1"/>
  <c r="B22"/>
  <c r="B21"/>
  <c r="D21" s="1"/>
  <c r="B20"/>
  <c r="D20" s="1"/>
  <c r="B19"/>
  <c r="G19" s="1"/>
  <c r="B18"/>
  <c r="D18" s="1"/>
  <c r="B17"/>
  <c r="G17" s="1"/>
  <c r="B16"/>
  <c r="D16" s="1"/>
  <c r="B15"/>
  <c r="B14"/>
  <c r="D14" s="1"/>
  <c r="B13"/>
  <c r="D13" s="1"/>
  <c r="B12"/>
  <c r="G12" s="1"/>
  <c r="B11"/>
  <c r="B10"/>
  <c r="D10" s="1"/>
  <c r="B9"/>
  <c r="B8"/>
  <c r="D8" s="1"/>
  <c r="B7"/>
  <c r="D7" s="1"/>
  <c r="B6"/>
  <c r="G6" s="1"/>
  <c r="B5"/>
  <c r="B4"/>
  <c r="D4" s="1"/>
  <c r="B3"/>
  <c r="G3" s="1"/>
  <c r="B2"/>
  <c r="G2" s="1"/>
  <c r="G25" i="122" l="1"/>
  <c r="F25"/>
  <c r="J25"/>
  <c r="I25"/>
  <c r="G24"/>
  <c r="F18"/>
  <c r="F19" s="1"/>
  <c r="G26"/>
  <c r="F26"/>
  <c r="J26"/>
  <c r="I26"/>
  <c r="F24"/>
  <c r="J24"/>
  <c r="I24"/>
  <c r="F23"/>
  <c r="J23"/>
  <c r="I23"/>
  <c r="H23"/>
  <c r="I21"/>
  <c r="H21"/>
  <c r="F22"/>
  <c r="J22"/>
  <c r="H27"/>
  <c r="H28"/>
  <c r="G21"/>
  <c r="I22"/>
  <c r="G27"/>
  <c r="G28"/>
  <c r="E29"/>
  <c r="F21"/>
  <c r="H22"/>
  <c r="F27"/>
  <c r="J27"/>
  <c r="F28"/>
  <c r="J28"/>
  <c r="F22" i="121"/>
  <c r="F15"/>
  <c r="F16" s="1"/>
  <c r="H22"/>
  <c r="I23"/>
  <c r="G22"/>
  <c r="E23"/>
  <c r="G52" i="40"/>
  <c r="G54"/>
  <c r="G56"/>
  <c r="G58"/>
  <c r="G60"/>
  <c r="G62"/>
  <c r="G42"/>
  <c r="D98"/>
  <c r="E98" s="1"/>
  <c r="G108"/>
  <c r="G64"/>
  <c r="G25"/>
  <c r="G66"/>
  <c r="G68"/>
  <c r="G30"/>
  <c r="G44"/>
  <c r="G16"/>
  <c r="G39"/>
  <c r="G83"/>
  <c r="G21"/>
  <c r="D38"/>
  <c r="D2"/>
  <c r="E2" s="1"/>
  <c r="G23"/>
  <c r="E44"/>
  <c r="D72"/>
  <c r="E72" s="1"/>
  <c r="E83"/>
  <c r="G20"/>
  <c r="E20" s="1"/>
  <c r="G46"/>
  <c r="E46" s="1"/>
  <c r="G14"/>
  <c r="E14" s="1"/>
  <c r="G22"/>
  <c r="G73"/>
  <c r="G93"/>
  <c r="G96"/>
  <c r="E42"/>
  <c r="D3"/>
  <c r="E3" s="1"/>
  <c r="G4"/>
  <c r="E4" s="1"/>
  <c r="G8"/>
  <c r="E8" s="1"/>
  <c r="G10"/>
  <c r="E10" s="1"/>
  <c r="D17"/>
  <c r="E17" s="1"/>
  <c r="D19"/>
  <c r="E19" s="1"/>
  <c r="G43"/>
  <c r="D45"/>
  <c r="D47"/>
  <c r="D75"/>
  <c r="E75" s="1"/>
  <c r="G79"/>
  <c r="E79" s="1"/>
  <c r="G81"/>
  <c r="E81" s="1"/>
  <c r="D86"/>
  <c r="E86" s="1"/>
  <c r="E16"/>
  <c r="E21"/>
  <c r="E23"/>
  <c r="E25"/>
  <c r="E30"/>
  <c r="E38"/>
  <c r="E39"/>
  <c r="E73"/>
  <c r="G5"/>
  <c r="D9"/>
  <c r="D11"/>
  <c r="G27"/>
  <c r="E27" s="1"/>
  <c r="G34"/>
  <c r="E34" s="1"/>
  <c r="G70"/>
  <c r="E70" s="1"/>
  <c r="D80"/>
  <c r="G99"/>
  <c r="G101"/>
  <c r="E101" s="1"/>
  <c r="G104"/>
  <c r="G13" i="42"/>
  <c r="H13"/>
  <c r="E93" i="40"/>
  <c r="E96"/>
  <c r="E99"/>
  <c r="E104"/>
  <c r="G13"/>
  <c r="E13" s="1"/>
  <c r="G15"/>
  <c r="G18"/>
  <c r="E18" s="1"/>
  <c r="G26"/>
  <c r="G28"/>
  <c r="G31"/>
  <c r="E31" s="1"/>
  <c r="G35"/>
  <c r="G40"/>
  <c r="G51"/>
  <c r="G53"/>
  <c r="G55"/>
  <c r="G57"/>
  <c r="G59"/>
  <c r="G61"/>
  <c r="G63"/>
  <c r="G65"/>
  <c r="G67"/>
  <c r="G71"/>
  <c r="G74"/>
  <c r="G77"/>
  <c r="E77" s="1"/>
  <c r="G84"/>
  <c r="E84" s="1"/>
  <c r="G87"/>
  <c r="E87" s="1"/>
  <c r="G94"/>
  <c r="E94" s="1"/>
  <c r="G100"/>
  <c r="E100" s="1"/>
  <c r="G102"/>
  <c r="G109"/>
  <c r="G7"/>
  <c r="E7" s="1"/>
  <c r="G9"/>
  <c r="G11"/>
  <c r="D15"/>
  <c r="G24"/>
  <c r="E24" s="1"/>
  <c r="D26"/>
  <c r="D28"/>
  <c r="G29"/>
  <c r="E29" s="1"/>
  <c r="D35"/>
  <c r="D40"/>
  <c r="G45"/>
  <c r="E45" s="1"/>
  <c r="G47"/>
  <c r="E47" s="1"/>
  <c r="G69"/>
  <c r="D71"/>
  <c r="D74"/>
  <c r="G78"/>
  <c r="E78" s="1"/>
  <c r="G80"/>
  <c r="E80" s="1"/>
  <c r="D102"/>
  <c r="G105"/>
  <c r="E105" s="1"/>
  <c r="J29" i="122" l="1"/>
  <c r="F29"/>
  <c r="G29"/>
  <c r="I29"/>
  <c r="H29"/>
  <c r="H23" i="121"/>
  <c r="J23"/>
  <c r="G23"/>
  <c r="F23"/>
  <c r="E11" i="40"/>
  <c r="E28"/>
  <c r="E9"/>
  <c r="E40"/>
  <c r="E102"/>
  <c r="E74"/>
  <c r="E26"/>
  <c r="E15"/>
  <c r="E71"/>
  <c r="E35"/>
  <c r="E17" i="90" l="1"/>
  <c r="J13"/>
  <c r="I13"/>
  <c r="H13"/>
  <c r="G13"/>
  <c r="F13"/>
  <c r="J12"/>
  <c r="I12"/>
  <c r="H12"/>
  <c r="G12"/>
  <c r="F12"/>
  <c r="J11"/>
  <c r="I11"/>
  <c r="H11"/>
  <c r="G11"/>
  <c r="F11"/>
  <c r="J10"/>
  <c r="I10"/>
  <c r="H10"/>
  <c r="G10"/>
  <c r="F10"/>
  <c r="G190" i="3" s="1"/>
  <c r="F190" s="1"/>
  <c r="C190"/>
  <c r="G189" s="1"/>
  <c r="F189"/>
  <c r="C189"/>
  <c r="G188" s="1"/>
  <c r="F188"/>
  <c r="C188"/>
  <c r="G187" s="1"/>
  <c r="F187" s="1"/>
  <c r="C187"/>
  <c r="G186" s="1"/>
  <c r="F186"/>
  <c r="C186"/>
  <c r="G185" s="1"/>
  <c r="F185" s="1"/>
  <c r="C185"/>
  <c r="G184" s="1"/>
  <c r="F184" s="1"/>
  <c r="C184"/>
  <c r="G183" s="1"/>
  <c r="F183" s="1"/>
  <c r="C183"/>
  <c r="G182" s="1"/>
  <c r="F182"/>
  <c r="C182"/>
  <c r="G181" s="1"/>
  <c r="F181" s="1"/>
  <c r="C181"/>
  <c r="G180" s="1"/>
  <c r="F180"/>
  <c r="C180"/>
  <c r="G179" s="1"/>
  <c r="F179"/>
  <c r="C179"/>
  <c r="F178"/>
  <c r="C178"/>
  <c r="F177"/>
  <c r="C177"/>
  <c r="F176"/>
  <c r="C176"/>
  <c r="F175"/>
  <c r="C175"/>
  <c r="F174"/>
  <c r="C174"/>
  <c r="C173"/>
  <c r="G172" s="1"/>
  <c r="F172"/>
  <c r="C172"/>
  <c r="G171" s="1"/>
  <c r="F171"/>
  <c r="C171"/>
  <c r="C170"/>
  <c r="C169"/>
  <c r="G168" s="1"/>
  <c r="F168"/>
  <c r="C168"/>
  <c r="G167" s="1"/>
  <c r="F167"/>
  <c r="C167"/>
  <c r="C166"/>
  <c r="C165"/>
  <c r="C164"/>
  <c r="F163"/>
  <c r="C163"/>
  <c r="C162"/>
  <c r="G161" s="1"/>
  <c r="F161"/>
  <c r="C161"/>
  <c r="G160" s="1"/>
  <c r="F160"/>
  <c r="C160"/>
  <c r="F159"/>
  <c r="G159" s="1"/>
  <c r="C159"/>
  <c r="F158"/>
  <c r="C158"/>
  <c r="F157"/>
  <c r="C157"/>
  <c r="C156"/>
  <c r="C155"/>
  <c r="C154"/>
  <c r="G153" s="1"/>
  <c r="F153"/>
  <c r="C153"/>
  <c r="G152" s="1"/>
  <c r="F152"/>
  <c r="C152"/>
  <c r="G151" s="1"/>
  <c r="F151"/>
  <c r="C151"/>
  <c r="C150"/>
  <c r="F149"/>
  <c r="C149"/>
  <c r="F148"/>
  <c r="C148"/>
  <c r="F147"/>
  <c r="C147"/>
  <c r="G146"/>
  <c r="F146"/>
  <c r="C146"/>
  <c r="F145"/>
  <c r="G145" s="1"/>
  <c r="C145"/>
  <c r="G144"/>
  <c r="F144"/>
  <c r="C144"/>
  <c r="C143"/>
  <c r="C142"/>
  <c r="C141"/>
  <c r="C140"/>
  <c r="G139" s="1"/>
  <c r="F139"/>
  <c r="C139"/>
  <c r="G138" s="1"/>
  <c r="F138"/>
  <c r="C138"/>
  <c r="C100"/>
  <c r="P98"/>
  <c r="E98"/>
  <c r="P97"/>
  <c r="E97"/>
  <c r="P96"/>
  <c r="E96"/>
  <c r="P95"/>
  <c r="E95"/>
  <c r="P94"/>
  <c r="E94"/>
  <c r="P93"/>
  <c r="E93"/>
  <c r="P92"/>
  <c r="E92"/>
  <c r="P91"/>
  <c r="E91"/>
  <c r="P90"/>
  <c r="E90"/>
  <c r="P89"/>
  <c r="E89"/>
  <c r="P88"/>
  <c r="E88"/>
  <c r="P87"/>
  <c r="E87"/>
  <c r="P86"/>
  <c r="E86"/>
  <c r="P85"/>
  <c r="E85"/>
  <c r="P84"/>
  <c r="E84"/>
  <c r="P83"/>
  <c r="E83"/>
  <c r="P82"/>
  <c r="E82"/>
  <c r="P81"/>
  <c r="E81"/>
  <c r="P80"/>
  <c r="E80"/>
  <c r="P79"/>
  <c r="E79"/>
  <c r="P78"/>
  <c r="E78"/>
  <c r="P77"/>
  <c r="E77"/>
  <c r="P76"/>
  <c r="E76"/>
  <c r="P75"/>
  <c r="E75"/>
  <c r="P74"/>
  <c r="E74"/>
  <c r="P73"/>
  <c r="E73"/>
  <c r="P72"/>
  <c r="E72"/>
  <c r="P71"/>
  <c r="E71"/>
  <c r="P70"/>
  <c r="E70"/>
  <c r="P69"/>
  <c r="E69"/>
  <c r="P68"/>
  <c r="E68"/>
  <c r="P67"/>
  <c r="E67"/>
  <c r="P66"/>
  <c r="E66"/>
  <c r="P65"/>
  <c r="E65"/>
  <c r="P64"/>
  <c r="E64"/>
  <c r="P63"/>
  <c r="E63"/>
  <c r="P62"/>
  <c r="E62"/>
  <c r="P61"/>
  <c r="E61"/>
  <c r="P60"/>
  <c r="E60"/>
  <c r="P59"/>
  <c r="C59"/>
  <c r="P58"/>
  <c r="C58"/>
  <c r="P57"/>
  <c r="C57"/>
  <c r="P56"/>
  <c r="C56"/>
  <c r="P55"/>
  <c r="C55"/>
  <c r="P54"/>
  <c r="C54"/>
  <c r="P53"/>
  <c r="D53" s="1"/>
  <c r="C53"/>
  <c r="P52"/>
  <c r="D52" s="1"/>
  <c r="C52"/>
  <c r="P51"/>
  <c r="C51"/>
  <c r="D51" s="1"/>
  <c r="P50"/>
  <c r="D50"/>
  <c r="C50"/>
  <c r="P49"/>
  <c r="C49"/>
  <c r="D49" s="1"/>
  <c r="P48"/>
  <c r="C48"/>
  <c r="P47"/>
  <c r="D47"/>
  <c r="C47"/>
  <c r="P46"/>
  <c r="P45"/>
  <c r="C45"/>
  <c r="P44"/>
  <c r="D44"/>
  <c r="C44"/>
  <c r="P43"/>
  <c r="D43"/>
  <c r="C43"/>
  <c r="P42"/>
  <c r="D42"/>
  <c r="C42"/>
  <c r="P41"/>
  <c r="D41"/>
  <c r="C41"/>
  <c r="P40"/>
  <c r="D40"/>
  <c r="C40"/>
  <c r="P39"/>
  <c r="D39" s="1"/>
  <c r="C39"/>
  <c r="P38"/>
  <c r="D38"/>
  <c r="C38"/>
  <c r="P37"/>
  <c r="D37" s="1"/>
  <c r="C37"/>
  <c r="P36"/>
  <c r="D36"/>
  <c r="C36"/>
  <c r="P35"/>
  <c r="D35" s="1"/>
  <c r="C35"/>
  <c r="P34"/>
  <c r="D34"/>
  <c r="C34"/>
  <c r="P33"/>
  <c r="D33"/>
  <c r="C33"/>
  <c r="P32"/>
  <c r="D32" s="1"/>
  <c r="C32"/>
  <c r="P31"/>
  <c r="D31"/>
  <c r="C31"/>
  <c r="P30"/>
  <c r="D30" s="1"/>
  <c r="C30"/>
  <c r="P29"/>
  <c r="D29"/>
  <c r="C29"/>
  <c r="P28"/>
  <c r="D28" s="1"/>
  <c r="C28"/>
  <c r="P27"/>
  <c r="D27"/>
  <c r="C27"/>
  <c r="P26"/>
  <c r="F26"/>
  <c r="P25"/>
  <c r="F25"/>
  <c r="P24"/>
  <c r="F24"/>
  <c r="P23"/>
  <c r="F23"/>
  <c r="C23"/>
  <c r="P22"/>
  <c r="F22"/>
  <c r="P21"/>
  <c r="F21"/>
  <c r="P20"/>
  <c r="F20"/>
  <c r="P19"/>
  <c r="F19"/>
  <c r="P18"/>
  <c r="F18"/>
  <c r="P17"/>
  <c r="D17"/>
  <c r="C17"/>
  <c r="P16"/>
  <c r="D16" s="1"/>
  <c r="C16"/>
  <c r="P15"/>
  <c r="D15" s="1"/>
  <c r="C15"/>
  <c r="P14"/>
  <c r="D14" s="1"/>
  <c r="C14"/>
  <c r="P13"/>
  <c r="D13" s="1"/>
  <c r="C13"/>
  <c r="P12"/>
  <c r="D12" s="1"/>
  <c r="C12"/>
  <c r="P11"/>
  <c r="D11" s="1"/>
  <c r="C11"/>
  <c r="P10"/>
  <c r="D10" s="1"/>
  <c r="C10"/>
  <c r="P9"/>
  <c r="D9" s="1"/>
  <c r="C9"/>
  <c r="P8"/>
  <c r="C8"/>
  <c r="D8" s="1"/>
  <c r="P7"/>
  <c r="D7"/>
  <c r="C7"/>
  <c r="P6"/>
  <c r="D6" s="1"/>
  <c r="C6"/>
  <c r="P5"/>
  <c r="D5" s="1"/>
  <c r="C5"/>
  <c r="P4"/>
  <c r="D4" s="1"/>
  <c r="C4"/>
  <c r="P3"/>
  <c r="D3" s="1"/>
  <c r="C3"/>
  <c r="G17" i="90" l="1"/>
  <c r="H17"/>
  <c r="I17"/>
  <c r="J17"/>
  <c r="F17"/>
  <c r="E20"/>
  <c r="C24" i="3"/>
  <c r="D24" s="1"/>
  <c r="D45"/>
  <c r="G148"/>
  <c r="G158"/>
  <c r="G175"/>
  <c r="G177"/>
  <c r="D20"/>
  <c r="C20"/>
  <c r="D23"/>
  <c r="D48"/>
  <c r="G147"/>
  <c r="G149"/>
  <c r="G157"/>
  <c r="G163"/>
  <c r="G174"/>
  <c r="G176"/>
  <c r="G178"/>
  <c r="F14" i="90"/>
  <c r="F15" s="1"/>
  <c r="D75" i="115"/>
  <c r="Z74"/>
  <c r="Y74"/>
  <c r="P74"/>
  <c r="F74"/>
  <c r="Z71"/>
  <c r="Y71"/>
  <c r="P71"/>
  <c r="F71"/>
  <c r="Z70"/>
  <c r="Y70"/>
  <c r="P70"/>
  <c r="F70"/>
  <c r="Z69"/>
  <c r="Y69"/>
  <c r="P69"/>
  <c r="F69"/>
  <c r="D67"/>
  <c r="Z66"/>
  <c r="Y66"/>
  <c r="P66"/>
  <c r="F66"/>
  <c r="Z65"/>
  <c r="Y65"/>
  <c r="P65"/>
  <c r="F65"/>
  <c r="Z64"/>
  <c r="Y64"/>
  <c r="P64"/>
  <c r="F64"/>
  <c r="F63"/>
  <c r="F62"/>
  <c r="Z61"/>
  <c r="Y61"/>
  <c r="P61"/>
  <c r="F61"/>
  <c r="D59"/>
  <c r="Z58"/>
  <c r="Y58"/>
  <c r="P58"/>
  <c r="F58"/>
  <c r="Z57"/>
  <c r="Y57"/>
  <c r="P57"/>
  <c r="F57"/>
  <c r="Z56"/>
  <c r="Y56"/>
  <c r="P56"/>
  <c r="F56"/>
  <c r="D54"/>
  <c r="Z53"/>
  <c r="Y53"/>
  <c r="P53"/>
  <c r="F53"/>
  <c r="F52"/>
  <c r="F51"/>
  <c r="F50"/>
  <c r="F49"/>
  <c r="F48"/>
  <c r="F47"/>
  <c r="F46"/>
  <c r="F45"/>
  <c r="F44"/>
  <c r="F41"/>
  <c r="F40"/>
  <c r="F39"/>
  <c r="F38"/>
  <c r="F37"/>
  <c r="F36"/>
  <c r="F35"/>
  <c r="F34"/>
  <c r="F33"/>
  <c r="F32"/>
  <c r="F31"/>
  <c r="F30"/>
  <c r="F29"/>
  <c r="F28"/>
  <c r="F27"/>
  <c r="F26"/>
  <c r="F25"/>
  <c r="F24"/>
  <c r="Z23"/>
  <c r="Y23"/>
  <c r="P23"/>
  <c r="F23"/>
  <c r="Z22"/>
  <c r="Y22"/>
  <c r="P22"/>
  <c r="F22"/>
  <c r="D20"/>
  <c r="Z19"/>
  <c r="Y19"/>
  <c r="P19"/>
  <c r="F19"/>
  <c r="Z18"/>
  <c r="Y18"/>
  <c r="P18"/>
  <c r="F18"/>
  <c r="Z17"/>
  <c r="Y17"/>
  <c r="P17"/>
  <c r="F17"/>
  <c r="Z16"/>
  <c r="Y16"/>
  <c r="P16"/>
  <c r="F16"/>
  <c r="Z15"/>
  <c r="Y15"/>
  <c r="P15"/>
  <c r="F15"/>
  <c r="Z14"/>
  <c r="Y14"/>
  <c r="P14"/>
  <c r="F14"/>
  <c r="Z13"/>
  <c r="Y13"/>
  <c r="P13"/>
  <c r="F13"/>
  <c r="Z12"/>
  <c r="Y12"/>
  <c r="P12"/>
  <c r="F12"/>
  <c r="D10"/>
  <c r="Z9"/>
  <c r="Y9"/>
  <c r="P9"/>
  <c r="F9"/>
  <c r="Z8"/>
  <c r="Y8"/>
  <c r="P8"/>
  <c r="F8"/>
  <c r="Z7"/>
  <c r="Y7"/>
  <c r="P7"/>
  <c r="F7"/>
  <c r="Z6"/>
  <c r="Y6"/>
  <c r="P6"/>
  <c r="F6"/>
  <c r="Z5"/>
  <c r="Y5"/>
  <c r="P5"/>
  <c r="F5"/>
  <c r="G17" i="89"/>
  <c r="F17"/>
  <c r="D17"/>
  <c r="H17" i="88"/>
  <c r="E17"/>
  <c r="C17"/>
  <c r="F76" i="115" l="1"/>
  <c r="D76"/>
  <c r="C46" i="3"/>
  <c r="D46"/>
  <c r="D82"/>
  <c r="D86"/>
  <c r="D97"/>
  <c r="C97"/>
  <c r="D92"/>
  <c r="C92"/>
  <c r="D61"/>
  <c r="D65"/>
  <c r="D69"/>
  <c r="D73"/>
  <c r="D77"/>
  <c r="D96"/>
  <c r="D81"/>
  <c r="D85"/>
  <c r="D89"/>
  <c r="D98"/>
  <c r="C98"/>
  <c r="D60"/>
  <c r="D64"/>
  <c r="D68"/>
  <c r="D72"/>
  <c r="D76"/>
  <c r="D95"/>
  <c r="C95"/>
  <c r="D80"/>
  <c r="C80"/>
  <c r="D84"/>
  <c r="D88"/>
  <c r="D91"/>
  <c r="D94"/>
  <c r="D63"/>
  <c r="D67"/>
  <c r="D71"/>
  <c r="D75"/>
  <c r="D79"/>
  <c r="D83"/>
  <c r="D87"/>
  <c r="D90"/>
  <c r="C90"/>
  <c r="D93"/>
  <c r="D62"/>
  <c r="D66"/>
  <c r="D70"/>
  <c r="D74"/>
  <c r="D78"/>
  <c r="F141"/>
  <c r="G141"/>
  <c r="F154"/>
  <c r="G154"/>
  <c r="B112" i="40"/>
  <c r="F150" i="3"/>
  <c r="G150"/>
  <c r="F166"/>
  <c r="G166"/>
  <c r="F142"/>
  <c r="G142"/>
  <c r="C22"/>
  <c r="D22"/>
  <c r="F155"/>
  <c r="G155"/>
  <c r="F162"/>
  <c r="G162"/>
  <c r="F140"/>
  <c r="G140"/>
  <c r="C21"/>
  <c r="D21"/>
  <c r="F164"/>
  <c r="G164"/>
  <c r="C25"/>
  <c r="D25"/>
  <c r="F165"/>
  <c r="G165"/>
  <c r="C19"/>
  <c r="D19"/>
  <c r="C26"/>
  <c r="D26"/>
  <c r="F169"/>
  <c r="G169"/>
  <c r="F170"/>
  <c r="G170"/>
  <c r="F143"/>
  <c r="G143"/>
  <c r="F173"/>
  <c r="G173"/>
  <c r="F156"/>
  <c r="G156"/>
  <c r="C18"/>
  <c r="D18"/>
  <c r="C69"/>
  <c r="C70"/>
  <c r="C71"/>
  <c r="C82"/>
  <c r="C83"/>
  <c r="C94"/>
  <c r="C96"/>
  <c r="C87"/>
  <c r="C88"/>
  <c r="C60"/>
  <c r="C72"/>
  <c r="C62"/>
  <c r="C65"/>
  <c r="C63"/>
  <c r="C61"/>
  <c r="C66"/>
  <c r="C67"/>
  <c r="C68"/>
  <c r="C73"/>
  <c r="C89"/>
  <c r="C77"/>
  <c r="C74"/>
  <c r="D69" i="40"/>
  <c r="E69" s="1"/>
  <c r="C75" i="3"/>
  <c r="C76"/>
  <c r="C79"/>
  <c r="C78"/>
  <c r="C64"/>
  <c r="C86"/>
  <c r="D91" i="40"/>
  <c r="E91" s="1"/>
  <c r="C85" i="3"/>
  <c r="D32" i="40"/>
  <c r="E32" s="1"/>
  <c r="D41"/>
  <c r="E41" s="1"/>
  <c r="D49"/>
  <c r="E49" s="1"/>
  <c r="D22"/>
  <c r="E22" s="1"/>
  <c r="D82"/>
  <c r="E82" s="1"/>
  <c r="D43"/>
  <c r="E43" s="1"/>
  <c r="C93" i="3"/>
  <c r="D89" i="40"/>
  <c r="E89" s="1"/>
  <c r="D37"/>
  <c r="E37" s="1"/>
  <c r="D6"/>
  <c r="E6" s="1"/>
  <c r="D76"/>
  <c r="E76" s="1"/>
  <c r="D36"/>
  <c r="E36" s="1"/>
  <c r="D5"/>
  <c r="E5" s="1"/>
  <c r="D97"/>
  <c r="E97" s="1"/>
  <c r="D88"/>
  <c r="E88" s="1"/>
  <c r="D48"/>
  <c r="E48" s="1"/>
  <c r="D85"/>
  <c r="E85" s="1"/>
  <c r="D90"/>
  <c r="E90" s="1"/>
  <c r="D106"/>
  <c r="E106" s="1"/>
  <c r="C84" i="3"/>
  <c r="D12" i="40"/>
  <c r="E12" s="1"/>
  <c r="D95"/>
  <c r="E95" s="1"/>
  <c r="D50"/>
  <c r="E50" s="1"/>
  <c r="D92"/>
  <c r="E92" s="1"/>
  <c r="D103"/>
  <c r="E103" s="1"/>
  <c r="D33"/>
  <c r="E33" s="1"/>
  <c r="C91" i="3"/>
  <c r="C81"/>
  <c r="H127" i="40" l="1"/>
  <c r="J127"/>
  <c r="L127"/>
  <c r="N127"/>
  <c r="P127"/>
  <c r="G127"/>
  <c r="I127"/>
  <c r="K127"/>
  <c r="M127"/>
  <c r="O127"/>
  <c r="B113"/>
  <c r="B139" l="1"/>
  <c r="C139" s="1"/>
</calcChain>
</file>

<file path=xl/comments1.xml><?xml version="1.0" encoding="utf-8"?>
<comments xmlns="http://schemas.openxmlformats.org/spreadsheetml/2006/main">
  <authors>
    <author>IBM_USER</author>
  </authors>
  <commentList>
    <comment ref="C82" authorId="0">
      <text>
        <r>
          <rPr>
            <b/>
            <sz val="8"/>
            <color indexed="81"/>
            <rFont val="Tahoma"/>
            <family val="2"/>
          </rPr>
          <t>IBM_USER:</t>
        </r>
        <r>
          <rPr>
            <sz val="8"/>
            <color indexed="81"/>
            <rFont val="Tahoma"/>
            <family val="2"/>
          </rPr>
          <t xml:space="preserve">
MGR uplift removed at request of Brad Mumford 31/7/09</t>
        </r>
      </text>
    </comment>
  </commentList>
</comments>
</file>

<file path=xl/comments2.xml><?xml version="1.0" encoding="utf-8"?>
<comments xmlns="http://schemas.openxmlformats.org/spreadsheetml/2006/main">
  <authors>
    <author>IBM_USER</author>
  </authors>
  <commentList>
    <comment ref="C92" authorId="0">
      <text>
        <r>
          <rPr>
            <sz val="9"/>
            <color indexed="18"/>
            <rFont val="Tahoma"/>
            <family val="2"/>
          </rPr>
          <t xml:space="preserve"> 3 years + 2 x 1 year options</t>
        </r>
      </text>
    </comment>
    <comment ref="C93" authorId="0">
      <text>
        <r>
          <rPr>
            <sz val="9"/>
            <color indexed="18"/>
            <rFont val="Tahoma"/>
            <family val="2"/>
          </rPr>
          <t xml:space="preserve"> 3 years + 2 x 1 year options</t>
        </r>
      </text>
    </comment>
    <comment ref="C94" authorId="0">
      <text>
        <r>
          <rPr>
            <sz val="9"/>
            <color indexed="18"/>
            <rFont val="Tahoma"/>
            <family val="2"/>
          </rPr>
          <t xml:space="preserve"> 3 years + 2 x 1 year options</t>
        </r>
      </text>
    </comment>
  </commentList>
</comments>
</file>

<file path=xl/comments3.xml><?xml version="1.0" encoding="utf-8"?>
<comments xmlns="http://schemas.openxmlformats.org/spreadsheetml/2006/main">
  <authors>
    <author>MBoyle</author>
  </authors>
  <commentList>
    <comment ref="F9" authorId="0">
      <text>
        <r>
          <rPr>
            <b/>
            <sz val="8"/>
            <color indexed="81"/>
            <rFont val="Tahoma"/>
            <family val="2"/>
          </rPr>
          <t>MBoyle:</t>
        </r>
        <r>
          <rPr>
            <sz val="8"/>
            <color indexed="81"/>
            <rFont val="Tahoma"/>
            <family val="2"/>
          </rPr>
          <t xml:space="preserve">
Security Advisory and Intgrity are not currently  included in Security Calendar</t>
        </r>
      </text>
    </comment>
    <comment ref="F10" authorId="0">
      <text>
        <r>
          <rPr>
            <b/>
            <sz val="8"/>
            <color indexed="81"/>
            <rFont val="Tahoma"/>
            <family val="2"/>
          </rPr>
          <t>MBoyle:</t>
        </r>
        <r>
          <rPr>
            <sz val="8"/>
            <color indexed="81"/>
            <rFont val="Tahoma"/>
            <family val="2"/>
          </rPr>
          <t xml:space="preserve">
Security Policy Management (ISeC, GSD33n) reviews are not currently included in the Calendar</t>
        </r>
      </text>
    </comment>
  </commentList>
</comments>
</file>

<file path=xl/sharedStrings.xml><?xml version="1.0" encoding="utf-8"?>
<sst xmlns="http://schemas.openxmlformats.org/spreadsheetml/2006/main" count="2479" uniqueCount="1321">
  <si>
    <t>Network Services</t>
  </si>
  <si>
    <t>DAIMLER (MERCEDES)</t>
  </si>
  <si>
    <t>Manual Mounts</t>
  </si>
  <si>
    <t>END USER SERVICES</t>
  </si>
  <si>
    <t>ITSB04</t>
  </si>
  <si>
    <t>FTE Rate</t>
  </si>
  <si>
    <t>YR2</t>
  </si>
  <si>
    <t>Desktop - Tier 1</t>
  </si>
  <si>
    <t>Dell, etc</t>
  </si>
  <si>
    <t>50%B6; 50%B7</t>
  </si>
  <si>
    <t xml:space="preserve">ITS Band 6 </t>
  </si>
  <si>
    <t>ITSB06</t>
  </si>
  <si>
    <t>MEDICARE AUSTRALIA</t>
  </si>
  <si>
    <t>NZD</t>
  </si>
  <si>
    <t>USD</t>
  </si>
  <si>
    <t>AUD</t>
  </si>
  <si>
    <t>BAND</t>
  </si>
  <si>
    <t>HRLY RATE</t>
  </si>
  <si>
    <t>Utilisation</t>
  </si>
  <si>
    <t>AU$</t>
  </si>
  <si>
    <t>Mixed labour</t>
  </si>
  <si>
    <t>ITSB07</t>
  </si>
  <si>
    <t>1TLB - ONE TIME LABOUR</t>
  </si>
  <si>
    <t>Technical Assurance should not be required unless the Delivery Approver specifically requests this.</t>
  </si>
  <si>
    <t>TA Recommended</t>
  </si>
  <si>
    <t>It is recommended that at least, the lead competency be engaged as a Technical Assurer.  The Delivery Approver will nominate which competencies are required.  You need to request these via the TDA Notification button in SRMS.</t>
  </si>
  <si>
    <t>Tech GS Risk Yes</t>
  </si>
  <si>
    <t>GSMRT - SLA Availability</t>
  </si>
  <si>
    <t>GSMRT - Std Reporting</t>
  </si>
  <si>
    <t>PCM NETS</t>
  </si>
  <si>
    <t>RF Plan &amp; Mgmt National</t>
  </si>
  <si>
    <t>RF Plan &amp; Mgmt Ballarat</t>
  </si>
  <si>
    <t>Real Estate - Ballarat</t>
  </si>
  <si>
    <t>SS - AM</t>
  </si>
  <si>
    <t>SS - BAS</t>
  </si>
  <si>
    <t>SS - CSC</t>
  </si>
  <si>
    <t>SS - SPMS</t>
  </si>
  <si>
    <t>SS - SM</t>
  </si>
  <si>
    <t>SS - Security Compliance</t>
  </si>
  <si>
    <t>SS - Security ESCT</t>
  </si>
  <si>
    <t>SS - Security Malware</t>
  </si>
  <si>
    <t>SS - SSO AS400</t>
  </si>
  <si>
    <t>SS - SSO CSL</t>
  </si>
  <si>
    <t>SS - SSO Distributed</t>
  </si>
  <si>
    <t>SS - SSO Intel</t>
  </si>
  <si>
    <t>SS - SSO Mainframe</t>
  </si>
  <si>
    <t>SS - SSO Storage Mgmt</t>
  </si>
  <si>
    <t>SS - SSO Unix</t>
  </si>
  <si>
    <t>SNI Bandwidth - CF</t>
  </si>
  <si>
    <t>SNI Bandwidth - West Melb</t>
  </si>
  <si>
    <t>Socks Infra Support</t>
  </si>
  <si>
    <t>Standard Change Coord</t>
  </si>
  <si>
    <t>UMI EndPC - Non Share POD</t>
  </si>
  <si>
    <t>UMI EndPC - Share PoD</t>
  </si>
  <si>
    <t>Real Estate - National</t>
  </si>
  <si>
    <t>PETER'S OF KENSINGTON</t>
  </si>
  <si>
    <t>QANTAS</t>
  </si>
  <si>
    <t>RACV</t>
  </si>
  <si>
    <t>Per LPAR</t>
  </si>
  <si>
    <t>Per MIP</t>
  </si>
  <si>
    <t>Per Server Image</t>
  </si>
  <si>
    <t>NW Devices - Complex</t>
  </si>
  <si>
    <t>NW Devices - Medium</t>
  </si>
  <si>
    <t>Infrastructure Protection</t>
  </si>
  <si>
    <t>AU Band 9.7</t>
  </si>
  <si>
    <t>AU Band 9.8</t>
  </si>
  <si>
    <t>AU Band 9.9</t>
  </si>
  <si>
    <t>AU Band 10</t>
  </si>
  <si>
    <t>ITSP - ITS PROJECTS</t>
  </si>
  <si>
    <t>API9 - CROSS OFFERING PROJECTS</t>
  </si>
  <si>
    <t>AU Band 9.4</t>
  </si>
  <si>
    <t>AU Band 9.5</t>
  </si>
  <si>
    <t>AU Band 9.6</t>
  </si>
  <si>
    <t>Server Management - Distributed Unix</t>
  </si>
  <si>
    <t>Type</t>
  </si>
  <si>
    <t>HARDWARE EXPENSED (UNDER $1546) (NWK)</t>
  </si>
  <si>
    <t>HARDWARE EXPENSED (UNDER $1546) (SSO)</t>
  </si>
  <si>
    <t>HARDWARE MAINTENANCE - DIRECT - ITS (EUS)</t>
  </si>
  <si>
    <t>HARDWARE MAINTENANCE - DIRECT - ITS (NWK)</t>
  </si>
  <si>
    <t>HARDWARE MAINTENANCE - DIRECT - ITS (SSO)</t>
  </si>
  <si>
    <t>HARDWARE MAINTENANCE - DIRECT (EUS)</t>
  </si>
  <si>
    <t>CAN_05</t>
  </si>
  <si>
    <t>CAN</t>
  </si>
  <si>
    <t>CAN_Band5</t>
  </si>
  <si>
    <t>CAN_Band6</t>
  </si>
  <si>
    <t>CAN_06</t>
  </si>
  <si>
    <t>CAN_Band7</t>
  </si>
  <si>
    <t>CAN_07</t>
  </si>
  <si>
    <t>CAN_Band8</t>
  </si>
  <si>
    <t>CAN_08</t>
  </si>
  <si>
    <t>CA</t>
  </si>
  <si>
    <t>CAN_Band9</t>
  </si>
  <si>
    <t>CAN_Band10</t>
  </si>
  <si>
    <t>CAN_09</t>
  </si>
  <si>
    <t>CAN_10</t>
  </si>
  <si>
    <t>Canada</t>
  </si>
  <si>
    <t>UK SO GSD B10</t>
  </si>
  <si>
    <t>UK_B10</t>
  </si>
  <si>
    <t>UK SO GSD B4</t>
  </si>
  <si>
    <t>UK_B04</t>
  </si>
  <si>
    <t>UK SO GSD B5</t>
  </si>
  <si>
    <t>UK_B05</t>
  </si>
  <si>
    <t>UK SO GSD B6</t>
  </si>
  <si>
    <t>UK_B06</t>
  </si>
  <si>
    <t>UK SO GSD B7</t>
  </si>
  <si>
    <t>UK_B07</t>
  </si>
  <si>
    <t>UK SO GSD B8</t>
  </si>
  <si>
    <t>UK_B08</t>
  </si>
  <si>
    <t>UK SO GSD B9</t>
  </si>
  <si>
    <t>UK_B09</t>
  </si>
  <si>
    <t>BHP BILLITON - ENT</t>
  </si>
  <si>
    <t>BHP BILLITON - CORP</t>
  </si>
  <si>
    <t>BHP BILLITON - WAN</t>
  </si>
  <si>
    <t>IN B5</t>
  </si>
  <si>
    <t>IN_05</t>
  </si>
  <si>
    <t>IN B6</t>
  </si>
  <si>
    <t>IN_06</t>
  </si>
  <si>
    <t>IN B7</t>
  </si>
  <si>
    <t>IN_07</t>
  </si>
  <si>
    <t>IN B8</t>
  </si>
  <si>
    <t>IN_08</t>
  </si>
  <si>
    <t>IN B9</t>
  </si>
  <si>
    <t>IN_09</t>
  </si>
  <si>
    <t>IN B4</t>
  </si>
  <si>
    <t>APID - MAINFRAME</t>
  </si>
  <si>
    <t>APIE - MIDRANGE</t>
  </si>
  <si>
    <t>NAB AURNET</t>
  </si>
  <si>
    <t>BAS - Solution Design - Windows - Intel</t>
  </si>
  <si>
    <t>BAS - Detailed Design - Windows - Intel</t>
  </si>
  <si>
    <t>BAS - Detailed Design - Network</t>
  </si>
  <si>
    <t>BAS - Detailed Design - Security</t>
  </si>
  <si>
    <t>BAS - Detailed Design - Midrange</t>
  </si>
  <si>
    <t>BAS - Detailed Design - Linux - Intel</t>
  </si>
  <si>
    <t>BAS - Detailed Design - Linux - Mainframe</t>
  </si>
  <si>
    <t>BAS - Detailed Design - Linux - Midrange</t>
  </si>
  <si>
    <t>BAS - Detailed Design - Mainframe</t>
  </si>
  <si>
    <t>BAS - Solution Design - Linux - Intel</t>
  </si>
  <si>
    <t>BAS - Solution Design - Linux - Mainframe</t>
  </si>
  <si>
    <t>BAS - Solution Design - Linux - Midrange</t>
  </si>
  <si>
    <t>BAS - Solution Design - Mainframe</t>
  </si>
  <si>
    <t>BAS - Solution Design - Midrange</t>
  </si>
  <si>
    <t>BAS - Solution Design - Network</t>
  </si>
  <si>
    <t>BAS - Solution Design - Security</t>
  </si>
  <si>
    <t>BAS - Solution Design - Storage</t>
  </si>
  <si>
    <t>AU Band 5</t>
  </si>
  <si>
    <t>AU Band 5.1</t>
  </si>
  <si>
    <t>AU Band 5.2</t>
  </si>
  <si>
    <t>AU Band 5.3</t>
  </si>
  <si>
    <t>AU Band 5.4</t>
  </si>
  <si>
    <t>AU Band 5.5</t>
  </si>
  <si>
    <t>AU Band 5.6</t>
  </si>
  <si>
    <t>AU Band 5.7</t>
  </si>
  <si>
    <t>AU Band 5.8</t>
  </si>
  <si>
    <t>AU Band 5.9</t>
  </si>
  <si>
    <t>AU Band 6</t>
  </si>
  <si>
    <t>AU Band 6.1</t>
  </si>
  <si>
    <t>AU Band 6.2</t>
  </si>
  <si>
    <t>OIS ONLY</t>
  </si>
  <si>
    <t>Per SW supported</t>
  </si>
  <si>
    <t>Supported SW Products</t>
  </si>
  <si>
    <t>BASEMTHS</t>
  </si>
  <si>
    <t>SNWU - eBHS - NWS PROJECTS</t>
  </si>
  <si>
    <t>Number of months</t>
  </si>
  <si>
    <t>Driver</t>
  </si>
  <si>
    <t>RATE</t>
  </si>
  <si>
    <t>MYER</t>
  </si>
  <si>
    <t>7-ELEVEN STORES</t>
  </si>
  <si>
    <t>ARNOTT'S BISCUITS</t>
  </si>
  <si>
    <t>CALLISTA SOFTWARE SERVICES</t>
  </si>
  <si>
    <t>CISCO SYSTEMS AUSTRALIA</t>
  </si>
  <si>
    <t>DEPT OF TREASURY AND FINANCE</t>
  </si>
  <si>
    <t>DIAGEO AUSTRALIA</t>
  </si>
  <si>
    <t>DOW CHEMICAL (AUSTRALIA)</t>
  </si>
  <si>
    <t>ENERGY AUSTRALIA</t>
  </si>
  <si>
    <t>SABRE PACIFIC</t>
  </si>
  <si>
    <t>TRUENERGY SERVICES</t>
  </si>
  <si>
    <t>UNIVERSITY OF BALLARAT</t>
  </si>
  <si>
    <t>TOYOTA MOTOR CORP AUST</t>
  </si>
  <si>
    <t>No of Devices</t>
  </si>
  <si>
    <t>per Hour</t>
  </si>
  <si>
    <t>AMS - AMS</t>
  </si>
  <si>
    <t>ASS - Asset Management</t>
  </si>
  <si>
    <t>CL</t>
  </si>
  <si>
    <t>Risk Ratings</t>
  </si>
  <si>
    <t>Low 1</t>
  </si>
  <si>
    <t>RATED SERVICE</t>
  </si>
  <si>
    <r>
      <t xml:space="preserve">Default Override Frequencies Per Annum
</t>
    </r>
    <r>
      <rPr>
        <sz val="8"/>
        <color indexed="10"/>
        <rFont val="Arial"/>
        <family val="2"/>
      </rPr>
      <t>Syntax = Customer Name + " : " + Activity
Example = 'AGL : Cust CBN Reviews'</t>
    </r>
  </si>
  <si>
    <t>IBM NCO - A/NZ</t>
  </si>
  <si>
    <t>AU Band 6.5</t>
  </si>
  <si>
    <t>AU Band 6.6</t>
  </si>
  <si>
    <t>Btype</t>
  </si>
  <si>
    <t>SECURITY</t>
  </si>
  <si>
    <t>CustB10</t>
  </si>
  <si>
    <t>IBMB01</t>
  </si>
  <si>
    <t>IBMB03</t>
  </si>
  <si>
    <t>IBMB04</t>
  </si>
  <si>
    <t>NMS Flat Rate</t>
  </si>
  <si>
    <t>NW Devices</t>
  </si>
  <si>
    <t>NMS Performance Management</t>
  </si>
  <si>
    <t>NW Instances</t>
  </si>
  <si>
    <t>YrsOngoing</t>
  </si>
  <si>
    <t>SECURITY CALENDAR</t>
  </si>
  <si>
    <t>B2 60%,B3 25%,B6 12%,B7 2%, B8 1%</t>
  </si>
  <si>
    <t>40% b6; 45%b7; 15%b8</t>
  </si>
  <si>
    <t>IBM Privileged Authority Revalidation</t>
  </si>
  <si>
    <t>BILLABLE HRS</t>
  </si>
  <si>
    <t>YR5</t>
  </si>
  <si>
    <t>YR6</t>
  </si>
  <si>
    <t>YR7</t>
  </si>
  <si>
    <t>YR1</t>
  </si>
  <si>
    <t>FISERV SOLUTIONS OF AUSTRALIA</t>
  </si>
  <si>
    <t>FLUOR AUSTRALIA PTY LTD</t>
  </si>
  <si>
    <t>Service Component</t>
  </si>
  <si>
    <t>Year 1</t>
  </si>
  <si>
    <t>CustB01</t>
  </si>
  <si>
    <t>CSCB4</t>
  </si>
  <si>
    <t>CSCB2</t>
  </si>
  <si>
    <t>CSCB3</t>
  </si>
  <si>
    <t>CSCB5</t>
  </si>
  <si>
    <t>CSCB6</t>
  </si>
  <si>
    <t>CSCB7</t>
  </si>
  <si>
    <t>Source:</t>
  </si>
  <si>
    <t>https://w3.tap.ibm.com/w3ki04/display/anzcm/Labour</t>
  </si>
  <si>
    <t>Output Management Services</t>
  </si>
  <si>
    <t>TECHNOLOGY INTEGRATION &amp; MANAGEMENT</t>
  </si>
  <si>
    <t>No. of CPU</t>
  </si>
  <si>
    <t>No. of LPARS</t>
  </si>
  <si>
    <t>Work out number of days &amp; apply 1 more month if &gt; 15</t>
  </si>
  <si>
    <t>&lt;===</t>
  </si>
  <si>
    <t xml:space="preserve">add value to basemths - derived from Col G. </t>
  </si>
  <si>
    <t>DAYS</t>
  </si>
  <si>
    <t>AU Band 8.4</t>
  </si>
  <si>
    <t>Name</t>
  </si>
  <si>
    <t>Life (Mths)</t>
  </si>
  <si>
    <t>Lease Rate</t>
  </si>
  <si>
    <t>Comment</t>
  </si>
  <si>
    <t>Default (Term)</t>
  </si>
  <si>
    <t>Default (36 mths)</t>
  </si>
  <si>
    <t>Default (48 mths)</t>
  </si>
  <si>
    <t>Default (60 mths)</t>
  </si>
  <si>
    <t>Midrange (60 mths)</t>
  </si>
  <si>
    <t>Mainframe (60 mths)</t>
  </si>
  <si>
    <t>OmniAnalyser</t>
  </si>
  <si>
    <t>CMI Citrix</t>
  </si>
  <si>
    <t>Instances</t>
  </si>
  <si>
    <t>CMI VMWare</t>
  </si>
  <si>
    <t>AU Band 2.4</t>
  </si>
  <si>
    <t>AU Band 2.5</t>
  </si>
  <si>
    <t>AU Band 2.6</t>
  </si>
  <si>
    <t>AU Band 2.7</t>
  </si>
  <si>
    <t>AU Band 2.8</t>
  </si>
  <si>
    <t>AU Band 2.9</t>
  </si>
  <si>
    <t>N</t>
  </si>
  <si>
    <t>SSO - Midrange - Data Management DBMS</t>
  </si>
  <si>
    <t>SSO - Midrange - Server Management - AIX</t>
  </si>
  <si>
    <t>SSO - Midrange - Server Management - HPS</t>
  </si>
  <si>
    <t>SSO - Midrange - Server Management - MPE</t>
  </si>
  <si>
    <t>SSO - Midrange - Server Management - Siemens</t>
  </si>
  <si>
    <t>ABB AUSTRALIA</t>
  </si>
  <si>
    <t>AMERICAN EXPRESS INTERNATIONAL</t>
  </si>
  <si>
    <t>ASG GROUP</t>
  </si>
  <si>
    <t>AUSTRALIAN CUSTOMS SERVICES</t>
  </si>
  <si>
    <t>BHP BILLITON 1SAP</t>
  </si>
  <si>
    <t>BHP BILLITON GROUP OPERATIONS</t>
  </si>
  <si>
    <t>BAKERS DELIGHT</t>
  </si>
  <si>
    <t>XN1SYSPROGPRT</t>
  </si>
  <si>
    <t>XN3MFPERFMON</t>
  </si>
  <si>
    <t>XN4MFAUTOM</t>
  </si>
  <si>
    <t>CustB09</t>
  </si>
  <si>
    <t>SHARED MANUAL MOUNT TAPE</t>
  </si>
  <si>
    <t>Shared Software and Currency</t>
  </si>
  <si>
    <t>B2 10%,B3 22%,B6 45%,B7 20%, B8 3%</t>
  </si>
  <si>
    <t>BAS -  Detailed Design - Storage</t>
  </si>
  <si>
    <t>BAS - Infrastructure Architect</t>
  </si>
  <si>
    <t>BAS - Program Management</t>
  </si>
  <si>
    <t>BAS - Project Co-ordination</t>
  </si>
  <si>
    <t>BAS - Project Management</t>
  </si>
  <si>
    <t>EUS - CSC Operations</t>
  </si>
  <si>
    <t>EUS - Onsite Support</t>
  </si>
  <si>
    <t>EUS - SPMS Image Services and Support</t>
  </si>
  <si>
    <t>GBS - GBS</t>
  </si>
  <si>
    <t>IRM -  Detailed Design - Network</t>
  </si>
  <si>
    <t>IRM - Cabling Technology</t>
  </si>
  <si>
    <t>IRM - Firewalls Implementation and Management</t>
  </si>
  <si>
    <t>IRM - Global Network Operations</t>
  </si>
  <si>
    <t>IRM - HNS Services/Qantas</t>
  </si>
  <si>
    <t>IRM - Implementation Services</t>
  </si>
  <si>
    <t>IRM - Infrastructure Enablement</t>
  </si>
  <si>
    <t>AU Band 8</t>
  </si>
  <si>
    <t>AU Band 8.1</t>
  </si>
  <si>
    <t>AU Band 8.2</t>
  </si>
  <si>
    <t>AU Band 8.3</t>
  </si>
  <si>
    <t>BAYCORP ADVANTAGE LTD</t>
  </si>
  <si>
    <t>Complex</t>
  </si>
  <si>
    <t>COCA-COLA AMATIL</t>
  </si>
  <si>
    <t>AU Band 8.8</t>
  </si>
  <si>
    <t>AU Band 8.9</t>
  </si>
  <si>
    <t>AU Band 9</t>
  </si>
  <si>
    <t>AU Band 9.1</t>
  </si>
  <si>
    <t>AU Band 9.2</t>
  </si>
  <si>
    <t>AU Band 9.3</t>
  </si>
  <si>
    <t>CATHAY PACIFIC AIRWAYS</t>
  </si>
  <si>
    <t>COVANCE AUSTRALIA</t>
  </si>
  <si>
    <t>DEPARTMENT OF VETERAN AFFAIRS</t>
  </si>
  <si>
    <t>DEPT OF HEALTH &amp; AGEING</t>
  </si>
  <si>
    <t>DEPT OF INFRASTRUCTURE (PERRIN)</t>
  </si>
  <si>
    <t>FIDELITY INFORMATION SERVICES</t>
  </si>
  <si>
    <t>FLIGHT CENTRE INTERNATIONAL</t>
  </si>
  <si>
    <t>HAGEMEYER ELECTRICAL GROUP</t>
  </si>
  <si>
    <t>IGA DM AP</t>
  </si>
  <si>
    <t>IGA DS ANZ</t>
  </si>
  <si>
    <t>IGA DS AP</t>
  </si>
  <si>
    <t>IGA EUS A/NZ</t>
  </si>
  <si>
    <t>IGA EUS AP</t>
  </si>
  <si>
    <t>IGA GVI A/NZ</t>
  </si>
  <si>
    <t>IGA GVI AP</t>
  </si>
  <si>
    <t>IGA GWA AP</t>
  </si>
  <si>
    <t>IGA MAINFRAME A/NZ</t>
  </si>
  <si>
    <t>IGA MAINFRAME AP</t>
  </si>
  <si>
    <t>IGA NCO AP</t>
  </si>
  <si>
    <t>IGA NWK A/NZ</t>
  </si>
  <si>
    <t>IGA NWK AP</t>
  </si>
  <si>
    <t>IGA PARTNER REWARD AP</t>
  </si>
  <si>
    <t>IGA PC AP</t>
  </si>
  <si>
    <t>IGA PROJECTS</t>
  </si>
  <si>
    <t>JETSTAR</t>
  </si>
  <si>
    <t>JONES LANG LASALLE (AUST)</t>
  </si>
  <si>
    <t>MCDONALDS</t>
  </si>
  <si>
    <t>NATIONAL AUSTRALIA BANK</t>
  </si>
  <si>
    <t>NOVARTIS</t>
  </si>
  <si>
    <t>RAISING CHILDREN NETWORK</t>
  </si>
  <si>
    <t>AU Band 6.9</t>
  </si>
  <si>
    <t>AU Band 7</t>
  </si>
  <si>
    <t>DEPT OF HUMAN SERVICES</t>
  </si>
  <si>
    <t>HARDWARE DEPRECIATION- DIRECT</t>
  </si>
  <si>
    <t>XONET2</t>
  </si>
  <si>
    <t>SSO - Mainframe - Server Management - CICS</t>
  </si>
  <si>
    <t>SSO - Mainframe - Server Management - VM</t>
  </si>
  <si>
    <t>SSO - Mainframe - Server Management - zOS</t>
  </si>
  <si>
    <t>SSO - Mainframe - Storage Management</t>
  </si>
  <si>
    <t>SSO - Midrange - AS 400 iSeries Tandem Stratus</t>
  </si>
  <si>
    <t>SAP AUSTRALIA</t>
  </si>
  <si>
    <t>Cost+mgr</t>
  </si>
  <si>
    <t>DCS CIS</t>
  </si>
  <si>
    <t>SPOT</t>
  </si>
  <si>
    <t>SERVER SYSTEMS OPERATIONS</t>
  </si>
  <si>
    <t>SERVICE MANAGEMENT</t>
  </si>
  <si>
    <t>No. of SRMS records</t>
  </si>
  <si>
    <t>Cut Sheet - Formatting</t>
  </si>
  <si>
    <t>Cut Sheet - Impressions</t>
  </si>
  <si>
    <t>GSD PLATFORM SUPPORT</t>
  </si>
  <si>
    <t>ITSB09</t>
  </si>
  <si>
    <t>CustB06</t>
  </si>
  <si>
    <t>SSONEDS</t>
  </si>
  <si>
    <t>MB</t>
  </si>
  <si>
    <t>Links</t>
  </si>
  <si>
    <t>eESM Asset Tag Ticket</t>
  </si>
  <si>
    <t>RackUnits</t>
  </si>
  <si>
    <t>No. of AIX Devices</t>
  </si>
  <si>
    <t>Square Metres</t>
  </si>
  <si>
    <t>Business Acquisition Support</t>
  </si>
  <si>
    <t>End Points</t>
  </si>
  <si>
    <t>NAMED RANGES:  Col A: laboursc (for lookups labour service component types Col P;    Col A-F:  labour (for use in ICD/FaRM vlookups for SL/Comp/prodids where type is labour or misc)</t>
  </si>
  <si>
    <t>XONET1</t>
  </si>
  <si>
    <t>High 9</t>
  </si>
  <si>
    <t>Y</t>
  </si>
  <si>
    <t>XT3</t>
  </si>
  <si>
    <t>40%b7;60%b8</t>
  </si>
  <si>
    <t>REAL ESTATE - DIRECT (NWK)</t>
  </si>
  <si>
    <t>REAL ESTATE - DIRECT (SSO)</t>
  </si>
  <si>
    <t>SOFTWARE - DIRECT - 3RD PARTY (EUS)</t>
  </si>
  <si>
    <t>SOFTWARE - DIRECT - 3RD PARTY (NWK)</t>
  </si>
  <si>
    <t>TYPE:  COMPLEXITY</t>
  </si>
  <si>
    <t>MIDRANGE</t>
  </si>
  <si>
    <t>MAINFRAME</t>
  </si>
  <si>
    <t>Sth Africa  SPM TrTf SubProjMgr</t>
  </si>
  <si>
    <t>Sth Africa  TFM Trf Mgr</t>
  </si>
  <si>
    <t>Sth Africa  SPM Transition Mgr</t>
  </si>
  <si>
    <t>Sth Africa   Trf Admin Supp FTEavg</t>
  </si>
  <si>
    <t>Sth Africa   Trn Admin Supp FTEavg</t>
  </si>
  <si>
    <t>Sth Africa TTIM Trn TrflntegMgr</t>
  </si>
  <si>
    <t>US_B10</t>
  </si>
  <si>
    <t>US_B04</t>
  </si>
  <si>
    <t>US_B04 + SBY</t>
  </si>
  <si>
    <t>US_B05</t>
  </si>
  <si>
    <t>US_B05 + SBY</t>
  </si>
  <si>
    <t>US_B06</t>
  </si>
  <si>
    <t>US_B06 + SBY</t>
  </si>
  <si>
    <t>US_B07</t>
  </si>
  <si>
    <t>US_B07 + SBY</t>
  </si>
  <si>
    <t>US_B08</t>
  </si>
  <si>
    <t>US_B08 + SBY</t>
  </si>
  <si>
    <t>US_B09</t>
  </si>
  <si>
    <t>SA_ TRF ADMIN</t>
  </si>
  <si>
    <t>SA_ TRN ADMIN</t>
  </si>
  <si>
    <t>SA_ TRANS MGR</t>
  </si>
  <si>
    <t>SA_ SUB PM</t>
  </si>
  <si>
    <t>SA_ TSA_</t>
  </si>
  <si>
    <t>SA_ TRF MGR</t>
  </si>
  <si>
    <t>SA_ TRN INT MGR</t>
  </si>
  <si>
    <t>SG_B10</t>
  </si>
  <si>
    <t>SG_B6</t>
  </si>
  <si>
    <t>SG_B7</t>
  </si>
  <si>
    <t>SG_B8</t>
  </si>
  <si>
    <t>SG_B9</t>
  </si>
  <si>
    <t>NED_10</t>
  </si>
  <si>
    <t>NED_05</t>
  </si>
  <si>
    <t>NED_06</t>
  </si>
  <si>
    <t>NED_07</t>
  </si>
  <si>
    <t>NED_08</t>
  </si>
  <si>
    <t>NED_09</t>
  </si>
  <si>
    <t>CHILE_Band5</t>
  </si>
  <si>
    <t>CHILE_05</t>
  </si>
  <si>
    <t>CHILE_Band6</t>
  </si>
  <si>
    <t>CHILE_06</t>
  </si>
  <si>
    <t>CHILE_Band7</t>
  </si>
  <si>
    <t>CHILE_07</t>
  </si>
  <si>
    <t>CHILE_Band8</t>
  </si>
  <si>
    <t>CHILE_08</t>
  </si>
  <si>
    <t>US</t>
  </si>
  <si>
    <t>NL</t>
  </si>
  <si>
    <t>SA</t>
  </si>
  <si>
    <t>80% b7; 20% b8</t>
  </si>
  <si>
    <t>40% b3; 40% b4; 20% b5</t>
  </si>
  <si>
    <t>25% b7; 75% b8</t>
  </si>
  <si>
    <t>INFRASTRUCTURE AND RESOURCE MANAGEMENT</t>
  </si>
  <si>
    <t>Year 5</t>
  </si>
  <si>
    <t>Year 6</t>
  </si>
  <si>
    <t>Year 7</t>
  </si>
  <si>
    <t>Year 8</t>
  </si>
  <si>
    <t>YR8</t>
  </si>
  <si>
    <t>XPCSC1</t>
  </si>
  <si>
    <t>XFDSOSM</t>
  </si>
  <si>
    <t>ITS Band 5</t>
  </si>
  <si>
    <t>ITSB05</t>
  </si>
  <si>
    <t>AXA TECHNOLOGY SERVICES</t>
  </si>
  <si>
    <t>Backup Restore-Data Store</t>
  </si>
  <si>
    <t>Bandwidth Usage - HV</t>
  </si>
  <si>
    <t>Bandwidth Usage - over 500GB</t>
  </si>
  <si>
    <t>Change Coord Global Deliv</t>
  </si>
  <si>
    <t>Continuous Print Impress</t>
  </si>
  <si>
    <t>DWDM Mel - FC2 Protect</t>
  </si>
  <si>
    <t>DWDM Mel - FC2 Unprotect</t>
  </si>
  <si>
    <t>DWDM Mel - GigE Protect</t>
  </si>
  <si>
    <t>DWDM Mel - GigE Unprotect</t>
  </si>
  <si>
    <t>DWDM Syd - FC2 Protect</t>
  </si>
  <si>
    <t>DWDM Syd - FC2 Unprotect</t>
  </si>
  <si>
    <t>DWDM Syd - GigE Protect</t>
  </si>
  <si>
    <t>DWDM Syd - GigE Unprotect</t>
  </si>
  <si>
    <t>Fast T San</t>
  </si>
  <si>
    <t>GSD Currency Support ISV</t>
  </si>
  <si>
    <t>HNS Mge Resource-Complex1</t>
  </si>
  <si>
    <t>HNS Mge Resource-Complex2</t>
  </si>
  <si>
    <t>HNS Mge Resource-Complex3</t>
  </si>
  <si>
    <t>HNS Mge Resource-Complex4</t>
  </si>
  <si>
    <t>HNS Mge Resource-Complex5</t>
  </si>
  <si>
    <t>Service Activate/Deactivate</t>
  </si>
  <si>
    <t>Number of New Checklists and Owner Checklists raised</t>
  </si>
  <si>
    <t>Travel</t>
  </si>
  <si>
    <t>Security Advisory and Integrity</t>
  </si>
  <si>
    <t>Network (36 mths)</t>
  </si>
  <si>
    <t>Network (60 mths)</t>
  </si>
  <si>
    <t>Remarket (36 mths)</t>
  </si>
  <si>
    <t>eESM</t>
  </si>
  <si>
    <t>20%B6;60%B7;20%B8</t>
  </si>
  <si>
    <t>10%B6;70%B7;20%B8</t>
  </si>
  <si>
    <t>50% b6; 30% b7; 20% b8</t>
  </si>
  <si>
    <t>40%b6; 50% b7; 10% b8</t>
  </si>
  <si>
    <t>INCHCAPE MOTORS AUSTRALIA</t>
  </si>
  <si>
    <t>ABC LEARNING CENTRES</t>
  </si>
  <si>
    <t>AGL</t>
  </si>
  <si>
    <t>Impact - Impressions</t>
  </si>
  <si>
    <t>Order Now</t>
  </si>
  <si>
    <t>SHARED ATL</t>
  </si>
  <si>
    <t>Shared Host - CPU</t>
  </si>
  <si>
    <t>Shared Host - DASD</t>
  </si>
  <si>
    <t>Code</t>
  </si>
  <si>
    <t>Labour rates</t>
  </si>
  <si>
    <t>ZZZ</t>
  </si>
  <si>
    <t>MIDRANGE SRM SUBSCRIPTION</t>
  </si>
  <si>
    <t>STEINHOFF ASIA PACIFIC</t>
  </si>
  <si>
    <t>GOODMAN FIELDER</t>
  </si>
  <si>
    <t>H.J.HEINZ COMPANY AUSTRALIA</t>
  </si>
  <si>
    <t>ITSC ASIA PACIFIC</t>
  </si>
  <si>
    <t>MINOL AUSTRALIA</t>
  </si>
  <si>
    <t>MEDIBANK PRIVATE</t>
  </si>
  <si>
    <t>NATIONAL WEALTH MANAGEMENT</t>
  </si>
  <si>
    <t>PMI MORTGAGE INSURANCE</t>
  </si>
  <si>
    <t>RIO TINTO</t>
  </si>
  <si>
    <t>VEDA ADVANTAGE</t>
  </si>
  <si>
    <t>VODAFONE</t>
  </si>
  <si>
    <t>ZURICH FINANCIAL SERVICES AUSTRALIA</t>
  </si>
  <si>
    <t>AU Band 8.5</t>
  </si>
  <si>
    <t>AU Band 8.6</t>
  </si>
  <si>
    <t>APN1 - NETWORK PROJECTS</t>
  </si>
  <si>
    <t>Expensed</t>
  </si>
  <si>
    <t>Business types</t>
  </si>
  <si>
    <t>MRS RU Ongoing</t>
  </si>
  <si>
    <t>Risk %</t>
  </si>
  <si>
    <t>Last One</t>
  </si>
  <si>
    <t>AU Band 1.6</t>
  </si>
  <si>
    <t>AU Band 1.7</t>
  </si>
  <si>
    <t>AU Band 1.8</t>
  </si>
  <si>
    <t>AU Band 1.9</t>
  </si>
  <si>
    <t>AU Band 2</t>
  </si>
  <si>
    <t>AU Band 2.1</t>
  </si>
  <si>
    <t>AU Band 2.2</t>
  </si>
  <si>
    <t>AU Band 2.3</t>
  </si>
  <si>
    <t>A formal QA approval is required.  You should engage a QA reviewer in advance and provide an update as to when their review will be required.</t>
  </si>
  <si>
    <t>Formal QA PeerDA</t>
  </si>
  <si>
    <t>A peer review can be performed by the DA instead of a formal QA approval.  SRMS support will close the QA record.  The DA needs to confirm that a PBA/CBR peer review was performed via the SRMS record</t>
  </si>
  <si>
    <t>Formal QA PeerNO</t>
  </si>
  <si>
    <t>A peer review can be performed instead of a formal QA approval.  SRMS support will assign the QA record to a reviewer with the appropriate delegation.</t>
  </si>
  <si>
    <t>ARB Yes</t>
  </si>
  <si>
    <t>You need to contact the ANZ ARB/Australia/Contr/IBM and ask for a review of your solution</t>
  </si>
  <si>
    <t>ARB No</t>
  </si>
  <si>
    <t>No further action required</t>
  </si>
  <si>
    <t>ASSET MANAGEMENT</t>
  </si>
  <si>
    <t>BUSINESS ACQUISITION SUPPORT</t>
  </si>
  <si>
    <t>Customer Service Centre</t>
  </si>
  <si>
    <t>CSC Helpdesk AH</t>
  </si>
  <si>
    <t>CSC Helpdesk BH</t>
  </si>
  <si>
    <t>CMI VWS</t>
  </si>
  <si>
    <t>A Technical GS Risk assessment is not required.  Risk logs should be used to capture risks and mitigation actions and the DA is required to complete the GTS QUICK QA RISK ASSESSMENT.</t>
  </si>
  <si>
    <t>General GS Risk Yes</t>
  </si>
  <si>
    <t>XT4</t>
  </si>
  <si>
    <t>75%B4;25%B5</t>
  </si>
  <si>
    <t>70%b7; 30%b8</t>
  </si>
  <si>
    <t>XDISRATE1</t>
  </si>
  <si>
    <t>A343 - ANNUITY - EBHS HOSTING</t>
  </si>
  <si>
    <t>A346 - ANNUITY - NETWORK</t>
  </si>
  <si>
    <t>A352 - ANNUITY - SO</t>
  </si>
  <si>
    <t>A353 - ANNUITY - EBHS</t>
  </si>
  <si>
    <t>ITSB - ANNUITY - ITS</t>
  </si>
  <si>
    <t>Asset Management</t>
  </si>
  <si>
    <t>Server Management - Distributed Intel</t>
  </si>
  <si>
    <t>MSS Tape - Shared</t>
  </si>
  <si>
    <t>BHP BILLITON GROUP OPERATIONS : Cust CBN Reviews</t>
  </si>
  <si>
    <t>BHP BILLITON GROUP OPERATIONS : Cust Employment verification</t>
  </si>
  <si>
    <t>BHP BILLITON 1SAP : Cust CBN Reviews</t>
  </si>
  <si>
    <t>BHP BILLITON 1SAP : Cust Employment verification</t>
  </si>
  <si>
    <t>BHP - Non-Australian resources</t>
  </si>
  <si>
    <t>BHP</t>
  </si>
  <si>
    <t>Cap Plan Intel</t>
  </si>
  <si>
    <t>CSC mgd</t>
  </si>
  <si>
    <t>&lt;please select from list&gt;</t>
  </si>
  <si>
    <t>XN9MFPHYDBA</t>
  </si>
  <si>
    <t>Bandwidth Usage</t>
  </si>
  <si>
    <t>DEPT OF JUSTICE</t>
  </si>
  <si>
    <t>HEALTHSMART SERVICES</t>
  </si>
  <si>
    <t>IBMB05</t>
  </si>
  <si>
    <t>IBMB06</t>
  </si>
  <si>
    <t>IBMB07</t>
  </si>
  <si>
    <t>IBMB08</t>
  </si>
  <si>
    <t>IBMB09</t>
  </si>
  <si>
    <t>IBMB10</t>
  </si>
  <si>
    <t xml:space="preserve">GSD33n </t>
  </si>
  <si>
    <t>System Security Checks</t>
  </si>
  <si>
    <t>IBM Employment verification</t>
  </si>
  <si>
    <t>IBM CBN Reviews</t>
  </si>
  <si>
    <t>Cust Employment verification</t>
  </si>
  <si>
    <t>Cust CBN Reviews</t>
  </si>
  <si>
    <t>SPM Reviews</t>
  </si>
  <si>
    <t>CustB03</t>
  </si>
  <si>
    <t>CustB04</t>
  </si>
  <si>
    <t>CustB05</t>
  </si>
  <si>
    <t>Billable hours</t>
  </si>
  <si>
    <t>X4MRSTOR</t>
  </si>
  <si>
    <t>X5MROPBM</t>
  </si>
  <si>
    <t>X6MRTOPS</t>
  </si>
  <si>
    <t>X7MRUAD</t>
  </si>
  <si>
    <t>X8MRDBS</t>
  </si>
  <si>
    <t>AU Band 6.3</t>
  </si>
  <si>
    <t>AU Band 6.4</t>
  </si>
  <si>
    <t>ZAR</t>
  </si>
  <si>
    <t>South Africa</t>
  </si>
  <si>
    <t>GBP</t>
  </si>
  <si>
    <t>UK</t>
  </si>
  <si>
    <t>United States</t>
  </si>
  <si>
    <t>BFER 1 $U.S. equivalent to:</t>
  </si>
  <si>
    <t>Currency</t>
  </si>
  <si>
    <t>BHP ONLY:  Base Foreign Exchange Rate</t>
  </si>
  <si>
    <t>Identity and Access</t>
  </si>
  <si>
    <t>Server Management - Distributed Linux</t>
  </si>
  <si>
    <t>Server Management - Mainframe</t>
  </si>
  <si>
    <t>AU Band 8.7</t>
  </si>
  <si>
    <t>B2 60%,B3 24%,B6 13%,B7 2%, B8 1%</t>
  </si>
  <si>
    <t>SSO - Detailed Design - Midrange</t>
  </si>
  <si>
    <t>SSO - Detailed Design - Storage</t>
  </si>
  <si>
    <t>SSO - eBIZ Application Support - Apps DBA</t>
  </si>
  <si>
    <t>SSO - Enterprise Automation - Distributed</t>
  </si>
  <si>
    <t>SSO - Intel Server Management</t>
  </si>
  <si>
    <t>SSO - Intel Server Project Services</t>
  </si>
  <si>
    <t>SSO - Linux Server Support</t>
  </si>
  <si>
    <t>SSO - Mainframe - Application Support</t>
  </si>
  <si>
    <t xml:space="preserve">SSO - Mainframe - Config Management </t>
  </si>
  <si>
    <t>SSO - Mainframe - Data Management ADABAS</t>
  </si>
  <si>
    <t>SSO - Mainframe - Data Management DB2</t>
  </si>
  <si>
    <t>SSO - Mainframe - Data Management DBMS</t>
  </si>
  <si>
    <t>Security Operations Management</t>
  </si>
  <si>
    <t>50%B7; 50%B8</t>
  </si>
  <si>
    <t xml:space="preserve">SSO - Batch Scheduling Support </t>
  </si>
  <si>
    <t>XDISRATE2</t>
  </si>
  <si>
    <t>XDISRATE3</t>
  </si>
  <si>
    <t>WESTPAC - TRANSFORMATION</t>
  </si>
  <si>
    <t>60%b7;40%b8</t>
  </si>
  <si>
    <t>AU Band 7.1</t>
  </si>
  <si>
    <t>AU Band 7.2</t>
  </si>
  <si>
    <t xml:space="preserve">Named range:  nonlabour A-F for vlookups in ICD/FaRM loads where type = NLC or RATED </t>
  </si>
  <si>
    <t>MVSTAPE</t>
  </si>
  <si>
    <t>Country</t>
  </si>
  <si>
    <t>Distributed Software</t>
  </si>
  <si>
    <t>AMS REG Band 7</t>
  </si>
  <si>
    <t>AMS REG Band 8</t>
  </si>
  <si>
    <t>AMS REG Band 10</t>
  </si>
  <si>
    <t>AMSB8</t>
  </si>
  <si>
    <t>AMSB9</t>
  </si>
  <si>
    <t>GRCN3</t>
  </si>
  <si>
    <t>CN Reg (On-Site) Band 3</t>
  </si>
  <si>
    <t>CN Reg (On-Site) Band 4</t>
  </si>
  <si>
    <t>GRCN4</t>
  </si>
  <si>
    <t>CN Reg (On-Site) Band 5</t>
  </si>
  <si>
    <t>CN Reg (On-Site) Band 6</t>
  </si>
  <si>
    <t>GRCN5</t>
  </si>
  <si>
    <t>GRCN6</t>
  </si>
  <si>
    <t>CN Reg (On-Site) Band 7</t>
  </si>
  <si>
    <t>CN Reg (On-Site) Band 8</t>
  </si>
  <si>
    <t>GRCN7</t>
  </si>
  <si>
    <t>GRCN8</t>
  </si>
  <si>
    <t>IN Reg (On-Site) Band 3</t>
  </si>
  <si>
    <t>GRIN3</t>
  </si>
  <si>
    <t>IN Reg (On-Site) Band 4</t>
  </si>
  <si>
    <t>GRIN4</t>
  </si>
  <si>
    <t>IN Reg (On-Site) Band 5</t>
  </si>
  <si>
    <t>GRIN5</t>
  </si>
  <si>
    <t>IN Reg (On-Site) Band 6</t>
  </si>
  <si>
    <t>GRIN6</t>
  </si>
  <si>
    <t>IN Reg (On-Site) Band 7</t>
  </si>
  <si>
    <t>GRIN7</t>
  </si>
  <si>
    <t>IN Reg (On-Site) Band 8</t>
  </si>
  <si>
    <t>GRIN8</t>
  </si>
  <si>
    <t>IN Reg (On-Site) Band 9</t>
  </si>
  <si>
    <t>GRIN9</t>
  </si>
  <si>
    <t>MY Reg (On-Site) Band 3</t>
  </si>
  <si>
    <t>GRMY3</t>
  </si>
  <si>
    <t>MY Reg (On-Site) Band 4</t>
  </si>
  <si>
    <t>GRMY4</t>
  </si>
  <si>
    <t>MY Reg (On-Site) Band 5</t>
  </si>
  <si>
    <t>GRMY5</t>
  </si>
  <si>
    <t>MY Reg (On-Site) Band 6</t>
  </si>
  <si>
    <t>GRMY6</t>
  </si>
  <si>
    <t>MY Reg (On-Site) Band 7</t>
  </si>
  <si>
    <t>GRMY7</t>
  </si>
  <si>
    <t>Billable</t>
  </si>
  <si>
    <t>YR3</t>
  </si>
  <si>
    <t>YR4</t>
  </si>
  <si>
    <t>ITS Band 7</t>
  </si>
  <si>
    <t>COVENTRY</t>
  </si>
  <si>
    <t>X9MRDBL</t>
  </si>
  <si>
    <t>XSEC11</t>
  </si>
  <si>
    <t>XSEC9</t>
  </si>
  <si>
    <t>XSEC4</t>
  </si>
  <si>
    <t>XSEC1</t>
  </si>
  <si>
    <t>XSEC2</t>
  </si>
  <si>
    <t>XSEC3</t>
  </si>
  <si>
    <t>50%B4;50%B7</t>
  </si>
  <si>
    <t>50%B4;50%B6</t>
  </si>
  <si>
    <t>Cust Privileged Authority Revalidation</t>
  </si>
  <si>
    <t>30%B7; 70%B8</t>
  </si>
  <si>
    <t>Server Volumes</t>
  </si>
  <si>
    <t>CSCSRVC</t>
  </si>
  <si>
    <t>MIPS</t>
  </si>
  <si>
    <t>GIGS</t>
  </si>
  <si>
    <t>MVSDASD</t>
  </si>
  <si>
    <t>ROCHE DIAGNOSTICS</t>
  </si>
  <si>
    <t>GB</t>
  </si>
  <si>
    <t>Service Line</t>
  </si>
  <si>
    <t xml:space="preserve">IRM - Facilities Services </t>
  </si>
  <si>
    <t>QA - QA</t>
  </si>
  <si>
    <t>SMC - Transition and Transformation</t>
  </si>
  <si>
    <t>SSO - Detailed Design - Windows -Intel</t>
  </si>
  <si>
    <t>SSO - Directory Services  Management</t>
  </si>
  <si>
    <t>SSO - Enterprise Automation - Mainframe</t>
  </si>
  <si>
    <t>SSO - Intel Server Compliance</t>
  </si>
  <si>
    <t>SSO - Lodgement Services</t>
  </si>
  <si>
    <t>SSO - Midrange Server Compliance</t>
  </si>
  <si>
    <t>SNI Infrastructure</t>
  </si>
  <si>
    <t>SNI Bandwidth - Ballarat</t>
  </si>
  <si>
    <t>per customer</t>
  </si>
  <si>
    <t>per 100bps</t>
  </si>
  <si>
    <t>TELSTRA</t>
  </si>
  <si>
    <t>MISCELLANEOUS</t>
  </si>
  <si>
    <t>ITS - ITS</t>
  </si>
  <si>
    <t>SEC - Intrusion Detection and Prevention</t>
  </si>
  <si>
    <t>SEC - Security Compliance</t>
  </si>
  <si>
    <t>SEC - Security Engineers</t>
  </si>
  <si>
    <t>SMC - Account Team</t>
  </si>
  <si>
    <t>SMC - Change Management</t>
  </si>
  <si>
    <t>SMC - Service Delivery</t>
  </si>
  <si>
    <t>SMC - Service Reporting Assurance</t>
  </si>
  <si>
    <t>SMC - Service Restoration</t>
  </si>
  <si>
    <t>SMC - Test Management</t>
  </si>
  <si>
    <t xml:space="preserve">SSO - Application Hosting </t>
  </si>
  <si>
    <t>SSO - Web Middleware Enablement</t>
  </si>
  <si>
    <t>Software Platform Management Services</t>
  </si>
  <si>
    <t>VICTORIA POLICE</t>
  </si>
  <si>
    <t>INR</t>
  </si>
  <si>
    <t>SGD</t>
  </si>
  <si>
    <t>CLP</t>
  </si>
  <si>
    <t>Chile</t>
  </si>
  <si>
    <t>EUR</t>
  </si>
  <si>
    <t>EMU</t>
  </si>
  <si>
    <t>AU Reg (On-Site) Band 4</t>
  </si>
  <si>
    <t>AU Reg (On-Site) Band 5</t>
  </si>
  <si>
    <t>AU Reg (On-Site) Band 6</t>
  </si>
  <si>
    <t>AU Reg (On-Site) Band 7</t>
  </si>
  <si>
    <t>AU Reg (On-Site) Band 8</t>
  </si>
  <si>
    <t>AU Reg (On-Site) Band 9</t>
  </si>
  <si>
    <t>AU Reg (On-Site) Band 10</t>
  </si>
  <si>
    <t>AMS REG Band 2</t>
  </si>
  <si>
    <t>AMSB2</t>
  </si>
  <si>
    <t>AMSB3</t>
  </si>
  <si>
    <t>AMSB4</t>
  </si>
  <si>
    <t>AMSB5</t>
  </si>
  <si>
    <t>AMSB6</t>
  </si>
  <si>
    <t>AMSB7</t>
  </si>
  <si>
    <t>AMS REG Band 3</t>
  </si>
  <si>
    <t>AMS REG Band 4</t>
  </si>
  <si>
    <t>AMS REG Band 5</t>
  </si>
  <si>
    <t>AMS REG Band 6</t>
  </si>
  <si>
    <t>NATIVE</t>
  </si>
  <si>
    <t>ANNUAL RATE</t>
  </si>
  <si>
    <t>HOURS</t>
  </si>
  <si>
    <t>Hourly Rate - US $$</t>
  </si>
  <si>
    <t>NED B5</t>
  </si>
  <si>
    <t>NED B6</t>
  </si>
  <si>
    <t>NED B7</t>
  </si>
  <si>
    <t>NED B8</t>
  </si>
  <si>
    <t>NED B9</t>
  </si>
  <si>
    <t>NED B10</t>
  </si>
  <si>
    <t>Singapore generic band6</t>
  </si>
  <si>
    <t>Singapore generic band7</t>
  </si>
  <si>
    <t>Singapore generic band8</t>
  </si>
  <si>
    <t>Singapore generic band9</t>
  </si>
  <si>
    <t>Singapore generic band10</t>
  </si>
  <si>
    <t>HARDWARE MAINTENANCE - DIRECT (NWK)</t>
  </si>
  <si>
    <t>HARDWARE MAINTENANCE - DIRECT (SSO)</t>
  </si>
  <si>
    <t>OTHER PO'S GENERAL (EUS)</t>
  </si>
  <si>
    <t>OTHER PO'S GENERAL (NWK)</t>
  </si>
  <si>
    <t>OTHER PO'S GENERAL (SSO)</t>
  </si>
  <si>
    <t>REAL ESTATE - DIRECT (EUS)</t>
  </si>
  <si>
    <t>WESTPAC</t>
  </si>
  <si>
    <t>Project Services</t>
  </si>
  <si>
    <t>Service Reporting and Assurance</t>
  </si>
  <si>
    <t>APIG - NWS DESKTOP</t>
  </si>
  <si>
    <t>APIG - NWS SERVER</t>
  </si>
  <si>
    <t>Hourly</t>
  </si>
  <si>
    <t>Band Name</t>
  </si>
  <si>
    <t>CustB08</t>
  </si>
  <si>
    <t>22% b6; 67% b7; 1% b8</t>
  </si>
  <si>
    <t>SSO - Mainframe - Data Management ObjectStar</t>
  </si>
  <si>
    <t>SSO - Mainframe - Performance Management</t>
  </si>
  <si>
    <t>JDRF</t>
  </si>
  <si>
    <t>IRM - Remote Connectivity Implementation and Support</t>
  </si>
  <si>
    <t>IRM - Secure Access &amp; Implementation</t>
  </si>
  <si>
    <t>SEC -  Detailed Design - Security</t>
  </si>
  <si>
    <t>SEC - Application Services</t>
  </si>
  <si>
    <t>AU CSC (BA-Site) Band 2</t>
  </si>
  <si>
    <t>AU CSC (BA-Site) Band 3</t>
  </si>
  <si>
    <t>AU CSC (BA-Site) Band 4</t>
  </si>
  <si>
    <t>AU CSC (BA-Site) Band 5</t>
  </si>
  <si>
    <t>AU CSC (BA-Site) Band 6</t>
  </si>
  <si>
    <t>AU CSC (BA-Site) Band 7</t>
  </si>
  <si>
    <t xml:space="preserve">Productivity </t>
  </si>
  <si>
    <t>Per 100 Connections</t>
  </si>
  <si>
    <t>Business type</t>
  </si>
  <si>
    <t>AU Band 6.7</t>
  </si>
  <si>
    <t>AU Band 6.8</t>
  </si>
  <si>
    <t>25%b4;10%b6;50%b7;15%b8</t>
  </si>
  <si>
    <t>Facilities Strategy and Optimization</t>
  </si>
  <si>
    <t>AU Reg (Customer) Band 1</t>
  </si>
  <si>
    <t>AU Reg (Customer) Band 3</t>
  </si>
  <si>
    <t>AU Reg (Customer) Band 4</t>
  </si>
  <si>
    <t>AU Reg (Customer) Band 5</t>
  </si>
  <si>
    <t>AU Reg (Customer) Band 6</t>
  </si>
  <si>
    <t>AU Reg (Customer) Band 7</t>
  </si>
  <si>
    <t>AU Reg (Customer) Band 8</t>
  </si>
  <si>
    <t>AU Reg (Customer) Band 9</t>
  </si>
  <si>
    <t>AU Reg (Customer) Band 10</t>
  </si>
  <si>
    <t>MORTGAGE GUARANTY INSURANCE CORPORATION</t>
  </si>
  <si>
    <t>Raised Floor</t>
  </si>
  <si>
    <t>No. of Calendar Events</t>
  </si>
  <si>
    <t>Telco Supplier Support</t>
  </si>
  <si>
    <t>HNS Mge Resource-Medium1</t>
  </si>
  <si>
    <t>HNS Mge Resource-Medium2</t>
  </si>
  <si>
    <t>HNS Mge Resource-Medium3</t>
  </si>
  <si>
    <t>HNS Mge Resource-Medium4</t>
  </si>
  <si>
    <t>HNS Mge Resource-Medium5</t>
  </si>
  <si>
    <t>HNS Mge Resource-Simple1</t>
  </si>
  <si>
    <t>HNS Mge Resource-Simple2</t>
  </si>
  <si>
    <t>MF Console Ops per LPAR</t>
  </si>
  <si>
    <t>MF Console Ops per MIP</t>
  </si>
  <si>
    <t>MSS Disk - Ded EdgeSwitch</t>
  </si>
  <si>
    <t>NMS Firewall BF Complex</t>
  </si>
  <si>
    <t>NMS Firewall BF Medium</t>
  </si>
  <si>
    <t>NMS Firewall BF Simple</t>
  </si>
  <si>
    <t>NMS Router BF Complex</t>
  </si>
  <si>
    <t>NMS Router BF Medium</t>
  </si>
  <si>
    <t>NMS Router BF Simple</t>
  </si>
  <si>
    <t>NMS Switch BF Complex</t>
  </si>
  <si>
    <t>NMS Switch BF Medium</t>
  </si>
  <si>
    <t>NMS Switch BF Simple</t>
  </si>
  <si>
    <t>AU Reg (On-Site) Band 1</t>
  </si>
  <si>
    <t>AU Reg (On-Site) Band 3</t>
  </si>
  <si>
    <t>IN_04</t>
  </si>
  <si>
    <t>SSORDFL</t>
  </si>
  <si>
    <t>XNSYSPROG</t>
  </si>
  <si>
    <t>Australia</t>
  </si>
  <si>
    <t>NZ</t>
  </si>
  <si>
    <t>Japan</t>
  </si>
  <si>
    <t>JP</t>
  </si>
  <si>
    <t>India</t>
  </si>
  <si>
    <t>IN</t>
  </si>
  <si>
    <t>Indonesia</t>
  </si>
  <si>
    <t>ID</t>
  </si>
  <si>
    <t>Storage Management</t>
  </si>
  <si>
    <t>ENERGY AUSTRALIA - ITS</t>
  </si>
  <si>
    <t>CLIENT</t>
  </si>
  <si>
    <t>Contract ends</t>
  </si>
  <si>
    <t>XPCSC2</t>
  </si>
  <si>
    <t>ISEC</t>
  </si>
  <si>
    <t>Note:  Manager overhead applied to hourly rates at bottom of table</t>
  </si>
  <si>
    <t>NETWORK</t>
  </si>
  <si>
    <t>NETRNET</t>
  </si>
  <si>
    <t>eESM Ticket</t>
  </si>
  <si>
    <t>IRM - Network Tools Support</t>
  </si>
  <si>
    <t>IRM - Outsourced Services</t>
  </si>
  <si>
    <t>70%B2; 30%B3</t>
  </si>
  <si>
    <t>50%B2;50%B3</t>
  </si>
  <si>
    <t>75% B6; 25/% B7</t>
  </si>
  <si>
    <t>Servers</t>
  </si>
  <si>
    <t>eESM Asset Tag</t>
  </si>
  <si>
    <t>Print - Paper</t>
  </si>
  <si>
    <t>Contacts</t>
  </si>
  <si>
    <t>LPAR Reports</t>
  </si>
  <si>
    <t>SLA &amp; Availability Reports</t>
  </si>
  <si>
    <t>Standard Reports</t>
  </si>
  <si>
    <t>SNW8 - eBHS - CROSS OFFERING PROJECTS</t>
  </si>
  <si>
    <t>APIY - MIDRANGE PROJECTS</t>
  </si>
  <si>
    <t>APIZ - MAINFRAME PROJECTS</t>
  </si>
  <si>
    <t>SSOSIFN</t>
  </si>
  <si>
    <t>System Currency</t>
  </si>
  <si>
    <t>JEMENA</t>
  </si>
  <si>
    <t>IBM BCO WW</t>
  </si>
  <si>
    <t>Simple</t>
  </si>
  <si>
    <t>Medium</t>
  </si>
  <si>
    <t>AU Band 1</t>
  </si>
  <si>
    <t>AU Band 1.1</t>
  </si>
  <si>
    <t>AU Band 1.2</t>
  </si>
  <si>
    <t>AU Band 1.3</t>
  </si>
  <si>
    <t>AU Band 1.4</t>
  </si>
  <si>
    <t>AU Band 1.5</t>
  </si>
  <si>
    <t>Service Support Management</t>
  </si>
  <si>
    <t>Compliance and Regulatory</t>
  </si>
  <si>
    <t>Disaster Recovery Management</t>
  </si>
  <si>
    <t>Data Management</t>
  </si>
  <si>
    <t>Systems Operations</t>
  </si>
  <si>
    <t>System Management Integration</t>
  </si>
  <si>
    <t>Distributed Client Services</t>
  </si>
  <si>
    <t>Transition and Transformation - Asset Management</t>
  </si>
  <si>
    <t>Transition and Transformation - Business Acquisition Support</t>
  </si>
  <si>
    <t>Transition and Transformation - End User Services</t>
  </si>
  <si>
    <t>Transition and Transformation - Infrastructure and Resource Management</t>
  </si>
  <si>
    <t>Transition and Transformation - Security</t>
  </si>
  <si>
    <t>Transition and Transformation - Server Systems Operations</t>
  </si>
  <si>
    <t>Transition and Transformation - Service Management</t>
  </si>
  <si>
    <t>Transition and Transformation - Technology Integration &amp; Management</t>
  </si>
  <si>
    <t>VSS P4</t>
  </si>
  <si>
    <t>VSS P5 CPU</t>
  </si>
  <si>
    <t>VSS P5 LPAR</t>
  </si>
  <si>
    <t>VSS P5 Memory</t>
  </si>
  <si>
    <t>VSS VMWare CPU</t>
  </si>
  <si>
    <t>VSS VMWare LPAR</t>
  </si>
  <si>
    <t>VSS VMWare Memory</t>
  </si>
  <si>
    <t>SEC - Delivery Phase - Intel</t>
  </si>
  <si>
    <t>SEC - Delivery Phase - Mainframe</t>
  </si>
  <si>
    <t>SEC - Delivery Phase - Midrange</t>
  </si>
  <si>
    <t>SEC - Delivery Phase - Network</t>
  </si>
  <si>
    <t>ITS Band 8</t>
  </si>
  <si>
    <t>ITSB08</t>
  </si>
  <si>
    <t>ITS Band 9</t>
  </si>
  <si>
    <t>Year 2</t>
  </si>
  <si>
    <t>Type (HARDWARE)</t>
  </si>
  <si>
    <t>Type (SOFTWARE)</t>
  </si>
  <si>
    <t>X1MROSMS</t>
  </si>
  <si>
    <t>X2MROSMC</t>
  </si>
  <si>
    <t>X3MRCOPS</t>
  </si>
  <si>
    <t>SRMS Yes</t>
  </si>
  <si>
    <t>An SRMS record will be required to track and manage this opportunity.  SRMS records are generally raised by the business office / project managers and in some cases ATSMs &amp; SDs.</t>
  </si>
  <si>
    <t>SRMS NO</t>
  </si>
  <si>
    <t>MVSRSOW</t>
  </si>
  <si>
    <t>Hourly rate</t>
  </si>
  <si>
    <t>XT1</t>
  </si>
  <si>
    <t>Per Change Record</t>
  </si>
  <si>
    <t>Telco Account Numbers</t>
  </si>
  <si>
    <t>Select risk</t>
  </si>
  <si>
    <t>AU</t>
  </si>
  <si>
    <t>SERVICE COMPONENT</t>
  </si>
  <si>
    <t>Labour types</t>
  </si>
  <si>
    <t>Rated Services productivity already applied in rate</t>
  </si>
  <si>
    <t>SSO - Midrange - Server Management - SUN</t>
  </si>
  <si>
    <t>SSO - Midrange - Server Management - UNIX</t>
  </si>
  <si>
    <t>SSO - Midrange - Storage Management</t>
  </si>
  <si>
    <t>SSO - Operations Delivery</t>
  </si>
  <si>
    <t>SSO - Output Management</t>
  </si>
  <si>
    <t>SSO - Performance &amp; Capacity Management</t>
  </si>
  <si>
    <t>SSO - Production Support</t>
  </si>
  <si>
    <t>SSO - Security Compliance Operations</t>
  </si>
  <si>
    <t>SSO - Server Management Unix</t>
  </si>
  <si>
    <t>AUSTRALIA POST</t>
  </si>
  <si>
    <t>AUSTRALIAN BUREAU OF STATISTICS - eCENSUS</t>
  </si>
  <si>
    <t>AUSTRALIAN UNITY GROUP</t>
  </si>
  <si>
    <t>Hardware Strategy and Optimisation</t>
  </si>
  <si>
    <t>IRM Global Business Operations</t>
  </si>
  <si>
    <t>Software Strategy and Optimisation</t>
  </si>
  <si>
    <t>BRS SUBSCRIPTION (SSO)</t>
  </si>
  <si>
    <t>HARDWARE DEPRECIATION - DIRECT (EUS)</t>
  </si>
  <si>
    <t>HARDWARE DEPRECIATION - DIRECT (NWK)</t>
  </si>
  <si>
    <t>HARDWARE DEPRECIATION - DIRECT (SSO)</t>
  </si>
  <si>
    <t>HARDWARE EXPENSED (UNDER $1546) (EUS)</t>
  </si>
  <si>
    <t>AU Band 7.3</t>
  </si>
  <si>
    <t>AU Band 7.4</t>
  </si>
  <si>
    <t>AU Band 7.5</t>
  </si>
  <si>
    <t>AU Band 7.6</t>
  </si>
  <si>
    <t>AU Band 7.7</t>
  </si>
  <si>
    <t>AU Band 7.8</t>
  </si>
  <si>
    <t>AU Band 7.9</t>
  </si>
  <si>
    <t>Customer number</t>
  </si>
  <si>
    <t>SSO - Midrange - Data Management DB2 UDB</t>
  </si>
  <si>
    <t>This opportunity falls within the clip levels assigned to most DPEs and some SDMs.  Confirm via the delegations matrix who can be the delivery approver for this opportunity. The DA does not need to complete a Risk Assessment Report - a TDA peer review will suffice</t>
  </si>
  <si>
    <t>In Account DA &gt; 150KTCV</t>
  </si>
  <si>
    <t>Desktop - Lenovo</t>
  </si>
  <si>
    <t>IBM/Lenovo</t>
  </si>
  <si>
    <t>Ongoing date</t>
  </si>
  <si>
    <t>US: USD</t>
  </si>
  <si>
    <t>US SO GSD B4</t>
  </si>
  <si>
    <t>US SO GSD B4 plus standby</t>
  </si>
  <si>
    <t>US SO GSD B5</t>
  </si>
  <si>
    <t>US SO GSD B5 plus standby</t>
  </si>
  <si>
    <t>US SO GSD B6</t>
  </si>
  <si>
    <t>US SO GSD B6 plus standby</t>
  </si>
  <si>
    <t>US SO GSD B7</t>
  </si>
  <si>
    <t>US SO GSD B7 plus standby</t>
  </si>
  <si>
    <t>US SO GSD B8</t>
  </si>
  <si>
    <t>US SO GSD B8 plus standby</t>
  </si>
  <si>
    <t>US SO GSD B9</t>
  </si>
  <si>
    <t>US SO GSD B10</t>
  </si>
  <si>
    <t>NW Devices - Simple</t>
  </si>
  <si>
    <t>SOFTWARE - DIRECT - 3RD PARTY</t>
  </si>
  <si>
    <t>XT2</t>
  </si>
  <si>
    <t>MSS Tape - Dedicated</t>
  </si>
  <si>
    <t>MSS Disk - Shared</t>
  </si>
  <si>
    <t>MSS Disk - Dedicated</t>
  </si>
  <si>
    <t>CustB07</t>
  </si>
  <si>
    <t>Calendar Triggers per Tech Spec/Appendix</t>
  </si>
  <si>
    <t>Number of inscope ISEC Tech Specs or GSD33n Appendices</t>
  </si>
  <si>
    <t>Security Calendar Triggers PA</t>
  </si>
  <si>
    <t>XNAMFSTOR</t>
  </si>
  <si>
    <t>This opportunity does not require an SRMS record, however some managers have a local requirement to track all opportunities via SRMS</t>
  </si>
  <si>
    <t>In Account DA &lt;150KTCV</t>
  </si>
  <si>
    <t>No. Orders in CAAPS</t>
  </si>
  <si>
    <t>This opportunity falls within the clip levels assigned to most DPEs and some SDMs.  Confirm via the delegations matrix who can be the delivery approver for this opportunity. The DA will need to complete a Risk Assessment Report.</t>
  </si>
  <si>
    <t>Lead Comp DA</t>
  </si>
  <si>
    <t>You need to engage a DA from the lead competency via SRMS.  The lead competency is the competency with the highest cost component.</t>
  </si>
  <si>
    <t>No DA</t>
  </si>
  <si>
    <t>This solution does not require Delivery Approval.  A peer review will suffice.  A Peer is someone of same role and equivalent experience in the technology used in the solution (ie. ATSM, Delivery Manager or Team Lead)</t>
  </si>
  <si>
    <t>TA Yes</t>
  </si>
  <si>
    <t>ITS Band 4</t>
  </si>
  <si>
    <t>CONNXION</t>
  </si>
  <si>
    <t>ENZYME INTERNATIONAL</t>
  </si>
  <si>
    <t>SSO - SSO Consulting Services</t>
  </si>
  <si>
    <t>SSO - Systems Management Integration Tools</t>
  </si>
  <si>
    <t>Department of Sustainability and Environment</t>
  </si>
  <si>
    <t>Victorian Institute of Teachers</t>
  </si>
  <si>
    <t>Newcrest Mining Limited</t>
  </si>
  <si>
    <t>SOFTWARE - DIRECT - 3RD PARTY (SSO)</t>
  </si>
  <si>
    <t>VOICE/TELECOM (EUS)</t>
  </si>
  <si>
    <t>VOICE/TELECOM (NWK)</t>
  </si>
  <si>
    <t>VOICE/TELECOM (SSO)</t>
  </si>
  <si>
    <t>Service Lines NLC 2009</t>
  </si>
  <si>
    <t>SNOS - NETWORK</t>
  </si>
  <si>
    <t>Low 2</t>
  </si>
  <si>
    <t>Low 3</t>
  </si>
  <si>
    <t>Medium 4</t>
  </si>
  <si>
    <t>Medium 5</t>
  </si>
  <si>
    <t>Medium 6</t>
  </si>
  <si>
    <t>High 7</t>
  </si>
  <si>
    <t>GSMRT - LPAR</t>
  </si>
  <si>
    <t>Year 3</t>
  </si>
  <si>
    <t>ING Australia</t>
  </si>
  <si>
    <t>The Delivery Approver will nominate which competencies are required to provide Technical Assurance.  You need to request these via the TDA Notification button in SRMS.</t>
  </si>
  <si>
    <t>TA No</t>
  </si>
  <si>
    <t>Print - Handline Time</t>
  </si>
  <si>
    <t>Print - Mail Production</t>
  </si>
  <si>
    <t>VSA Infrastructure</t>
  </si>
  <si>
    <t>VSA Shared Proxy</t>
  </si>
  <si>
    <t>VSA Shared WRS</t>
  </si>
  <si>
    <t>SRMS</t>
  </si>
  <si>
    <t>80%B7; 20%B8</t>
  </si>
  <si>
    <t>High 8</t>
  </si>
  <si>
    <t>50%B6;50%B7</t>
  </si>
  <si>
    <t>90%B6;10%B8</t>
  </si>
  <si>
    <t>XSEC5</t>
  </si>
  <si>
    <t>50%B6;50%B8</t>
  </si>
  <si>
    <t>XSEC6</t>
  </si>
  <si>
    <t>50%B7;50%B8</t>
  </si>
  <si>
    <t>XSEC7</t>
  </si>
  <si>
    <t>80%B7;20%B8</t>
  </si>
  <si>
    <t>XSEC8</t>
  </si>
  <si>
    <t>70%B6; 20% B7; 10% B8</t>
  </si>
  <si>
    <t>50%B5; 40% B6; 10% B7</t>
  </si>
  <si>
    <t>XSEC10</t>
  </si>
  <si>
    <t>50%B5; 30% B6; 20% B7</t>
  </si>
  <si>
    <t>50%B6; 40% B7; 10% B8</t>
  </si>
  <si>
    <t>SERVICE LINE</t>
  </si>
  <si>
    <t>COMPETENCY</t>
  </si>
  <si>
    <t>PRODID</t>
  </si>
  <si>
    <t>MVSPRINT</t>
  </si>
  <si>
    <t>per 1000 Impressions</t>
  </si>
  <si>
    <t>per 1000 Records</t>
  </si>
  <si>
    <t>LBRBILL</t>
  </si>
  <si>
    <t>MVSCPU</t>
  </si>
  <si>
    <t>Korea</t>
  </si>
  <si>
    <t>KR</t>
  </si>
  <si>
    <t>Singapore</t>
  </si>
  <si>
    <t>SG</t>
  </si>
  <si>
    <t>Philippines</t>
  </si>
  <si>
    <t>PH</t>
  </si>
  <si>
    <t>Thailand</t>
  </si>
  <si>
    <t>TH</t>
  </si>
  <si>
    <t>Taiwan</t>
  </si>
  <si>
    <t>TW</t>
  </si>
  <si>
    <t>Malaysia</t>
  </si>
  <si>
    <t>MY</t>
  </si>
  <si>
    <t>China</t>
  </si>
  <si>
    <t>CH</t>
  </si>
  <si>
    <t>Hong Kong</t>
  </si>
  <si>
    <t>HK</t>
  </si>
  <si>
    <t>India Int.</t>
  </si>
  <si>
    <t>INA</t>
  </si>
  <si>
    <t>Server Management - Other</t>
  </si>
  <si>
    <t>No of years</t>
  </si>
  <si>
    <t>NON LABOUR</t>
  </si>
  <si>
    <t>MIXED RATES USED ONLY FOR ONGOING LABOUR - ALPHA ORDER REQUIRED</t>
  </si>
  <si>
    <t>40%B7; 60%B8</t>
  </si>
  <si>
    <t>BUSINESS TYPES</t>
  </si>
  <si>
    <t>CARMEN SYSTEMS</t>
  </si>
  <si>
    <t>INTEL</t>
  </si>
  <si>
    <t>Service Delivery (Account) Management</t>
  </si>
  <si>
    <t>SSO - Email and Middleware Projects</t>
  </si>
  <si>
    <t>LABOUR INTERLOCK</t>
  </si>
  <si>
    <t>Year 4</t>
  </si>
  <si>
    <t>90%B6; 10%B7</t>
  </si>
  <si>
    <t>20% b3; 50% b4; 30% b5</t>
  </si>
  <si>
    <t>XINOTES3</t>
  </si>
  <si>
    <t>Managers</t>
  </si>
  <si>
    <t>MGR</t>
  </si>
  <si>
    <t>You are required to prepare a Technical GS Risk assessment and store this in SRMS.  Competencies that have FYC &gt; $AU 150K are required to review and submit their own assessment.  All assessments are then collated in 1 E2E GS Risk file.</t>
  </si>
  <si>
    <t>Tech GS Risk No</t>
  </si>
  <si>
    <t>Checksum</t>
  </si>
  <si>
    <t>AMS REG Band 9</t>
  </si>
  <si>
    <t>AMSB10</t>
  </si>
  <si>
    <t>You are required to prepare a General Proposal GS Risk assessment and store this in SRMS once TDA has been completed.  This assessment can be done in conjunction with someone from the business (ie. ATSM, PE, PM, PD, DPE)</t>
  </si>
  <si>
    <t>General GS Risk No</t>
  </si>
  <si>
    <t>A General Proposal GS Risk assessment is not required.</t>
  </si>
  <si>
    <t>Formal QA Yes</t>
  </si>
  <si>
    <t>Auto Mounts</t>
  </si>
  <si>
    <t>ratio</t>
  </si>
  <si>
    <t>&lt;CrystalAddin Version="1"/&gt;</t>
  </si>
  <si>
    <t>APIA - E BUSINESS HOST SERV PROJECTS</t>
  </si>
  <si>
    <t>APIW - SERVICE CENTRE PROJECTS</t>
  </si>
  <si>
    <t>COUNTRY ENERGY</t>
  </si>
  <si>
    <t>YR9</t>
  </si>
  <si>
    <t>YR10</t>
  </si>
  <si>
    <t>APIU - NWS PROJECTS</t>
  </si>
  <si>
    <t>APIX - PROJECT OFFICE - PROJECTS</t>
  </si>
  <si>
    <t xml:space="preserve">SSO - BAU Email &amp; Collaboration </t>
  </si>
  <si>
    <t xml:space="preserve">SSO - BAU MQ and Messaging Middleware </t>
  </si>
  <si>
    <t>SSO - BCRS</t>
  </si>
  <si>
    <t>SSO - Business Operations</t>
  </si>
  <si>
    <t>SSO - Detailed Design - Cross Platform</t>
  </si>
  <si>
    <t>SSO - Detailed Design - Ebusiness</t>
  </si>
  <si>
    <t>SSO - Detailed Design - Linux - Intel</t>
  </si>
  <si>
    <t>SSO - Detailed Design - Linux - Mainframe</t>
  </si>
  <si>
    <t>SSO - Detailed Design - Linux - Midrange</t>
  </si>
  <si>
    <t>SSO - Detailed Design - Mainframe</t>
  </si>
  <si>
    <t>Band code</t>
  </si>
  <si>
    <t>SSO - Mainframe - Data Management IDMS</t>
  </si>
  <si>
    <t>SSO - Mainframe - Data Management IMS</t>
  </si>
  <si>
    <t>Default  Frequencies 
Per Annum</t>
  </si>
  <si>
    <t>GSD33n</t>
  </si>
  <si>
    <t>Application Hosting Services</t>
  </si>
  <si>
    <t>JACK GREEN</t>
  </si>
  <si>
    <t>MACQUARIE BANK</t>
  </si>
  <si>
    <t>X86 Server</t>
  </si>
  <si>
    <t>X86 Server</t>
    <phoneticPr fontId="5" type="noConversion"/>
  </si>
  <si>
    <t>NetApp NAS</t>
    <phoneticPr fontId="5" type="noConversion"/>
  </si>
  <si>
    <t>EMC NAS Storage</t>
    <phoneticPr fontId="5" type="noConversion"/>
  </si>
  <si>
    <t>IBM DS Storage</t>
    <phoneticPr fontId="5" type="noConversion"/>
  </si>
  <si>
    <t>SAN Switch</t>
    <phoneticPr fontId="5" type="noConversion"/>
  </si>
  <si>
    <t xml:space="preserve">Fibre </t>
    <phoneticPr fontId="5" type="noConversion"/>
  </si>
  <si>
    <t>Router</t>
    <phoneticPr fontId="5" type="noConversion"/>
  </si>
  <si>
    <t>Load Balance</t>
    <phoneticPr fontId="5" type="noConversion"/>
  </si>
  <si>
    <t>Windows</t>
    <phoneticPr fontId="5" type="noConversion"/>
  </si>
  <si>
    <t>AIX</t>
    <phoneticPr fontId="5" type="noConversion"/>
  </si>
  <si>
    <t>Single Sign On(SSO)</t>
    <phoneticPr fontId="5" type="noConversion"/>
  </si>
  <si>
    <t>IPS</t>
    <phoneticPr fontId="5" type="noConversion"/>
  </si>
  <si>
    <t>IDS</t>
    <phoneticPr fontId="5" type="noConversion"/>
  </si>
  <si>
    <t>Anivirus</t>
    <phoneticPr fontId="5" type="noConversion"/>
  </si>
  <si>
    <t>Sun Solaris</t>
    <phoneticPr fontId="5" type="noConversion"/>
  </si>
  <si>
    <t>HP Unix</t>
    <phoneticPr fontId="5" type="noConversion"/>
  </si>
  <si>
    <t>Level 8</t>
  </si>
  <si>
    <t>Level 7</t>
  </si>
  <si>
    <t>Level 6</t>
  </si>
  <si>
    <t>Level 5</t>
  </si>
  <si>
    <t>Rack</t>
    <phoneticPr fontId="5" type="noConversion"/>
  </si>
  <si>
    <t xml:space="preserve">项目投资（人民币计算） </t>
  </si>
  <si>
    <t xml:space="preserve">　成本合计 </t>
  </si>
  <si>
    <t xml:space="preserve">一次性成本 </t>
  </si>
  <si>
    <t xml:space="preserve">                                           -   </t>
  </si>
  <si>
    <t xml:space="preserve">持续性成本 </t>
  </si>
  <si>
    <r>
      <t>按自然年分解</t>
    </r>
    <r>
      <rPr>
        <sz val="12"/>
        <color rgb="FFFF0000"/>
        <rFont val="微软雅黑"/>
        <family val="2"/>
        <charset val="134"/>
      </rPr>
      <t xml:space="preserve"> </t>
    </r>
  </si>
  <si>
    <t>硬件类型</t>
    <phoneticPr fontId="5" type="noConversion"/>
  </si>
  <si>
    <t>硬件名称及描述</t>
    <phoneticPr fontId="5" type="noConversion"/>
  </si>
  <si>
    <t>数量</t>
    <phoneticPr fontId="5" type="noConversion"/>
  </si>
  <si>
    <t>成本</t>
    <phoneticPr fontId="5" type="noConversion"/>
  </si>
  <si>
    <t>维保期</t>
    <phoneticPr fontId="5" type="noConversion"/>
  </si>
  <si>
    <t>（月）</t>
    <phoneticPr fontId="5" type="noConversion"/>
  </si>
  <si>
    <t>（人民币）</t>
    <phoneticPr fontId="5" type="noConversion"/>
  </si>
  <si>
    <t>硬件的最长使用周期</t>
    <phoneticPr fontId="5" type="noConversion"/>
  </si>
  <si>
    <t>是否是现有IDC硬件</t>
    <phoneticPr fontId="5" type="noConversion"/>
  </si>
  <si>
    <t>是</t>
  </si>
  <si>
    <t>是</t>
    <phoneticPr fontId="5" type="noConversion"/>
  </si>
  <si>
    <t>否</t>
  </si>
  <si>
    <t>否</t>
    <phoneticPr fontId="5" type="noConversion"/>
  </si>
  <si>
    <t>Block</t>
    <phoneticPr fontId="5" type="noConversion"/>
  </si>
  <si>
    <t>X3850</t>
    <phoneticPr fontId="5" type="noConversion"/>
  </si>
  <si>
    <t>(人民币)</t>
    <phoneticPr fontId="5" type="noConversion"/>
  </si>
  <si>
    <t>(月)</t>
    <phoneticPr fontId="5" type="noConversion"/>
  </si>
  <si>
    <t>Blade Server</t>
    <phoneticPr fontId="5" type="noConversion"/>
  </si>
  <si>
    <t>Pseries Server</t>
    <phoneticPr fontId="5" type="noConversion"/>
  </si>
  <si>
    <t>MainFrame Server</t>
    <phoneticPr fontId="5" type="noConversion"/>
  </si>
  <si>
    <t>EMC SAN Storage</t>
    <phoneticPr fontId="5" type="noConversion"/>
  </si>
  <si>
    <t>IBM XIV Storage</t>
    <phoneticPr fontId="5" type="noConversion"/>
  </si>
  <si>
    <t>Switch</t>
    <phoneticPr fontId="5" type="noConversion"/>
  </si>
  <si>
    <t>Firewall</t>
    <phoneticPr fontId="5" type="noConversion"/>
  </si>
  <si>
    <t>Network Line</t>
    <phoneticPr fontId="5" type="noConversion"/>
  </si>
  <si>
    <t>Others</t>
    <phoneticPr fontId="5" type="noConversion"/>
  </si>
  <si>
    <t>采购日期</t>
    <phoneticPr fontId="5" type="noConversion"/>
  </si>
  <si>
    <t>YYYY年MM月DD日</t>
    <phoneticPr fontId="5" type="noConversion"/>
  </si>
  <si>
    <t>维保期之后的维保费</t>
    <phoneticPr fontId="5" type="noConversion"/>
  </si>
  <si>
    <t>合计</t>
    <phoneticPr fontId="5" type="noConversion"/>
  </si>
  <si>
    <t>软件名称及描述</t>
    <phoneticPr fontId="5" type="noConversion"/>
  </si>
  <si>
    <t>软件类型</t>
    <phoneticPr fontId="5" type="noConversion"/>
  </si>
  <si>
    <t>是否是富基软件</t>
    <phoneticPr fontId="5" type="noConversion"/>
  </si>
  <si>
    <t>软件的最长使用周期</t>
    <phoneticPr fontId="5" type="noConversion"/>
  </si>
  <si>
    <t>vCenter</t>
    <phoneticPr fontId="5" type="noConversion"/>
  </si>
  <si>
    <t>vCenter Heartbeat</t>
    <phoneticPr fontId="5" type="noConversion"/>
  </si>
  <si>
    <t>Backup</t>
    <phoneticPr fontId="5" type="noConversion"/>
  </si>
  <si>
    <t>VMware ESXi</t>
  </si>
  <si>
    <t>VMware ESXi</t>
    <phoneticPr fontId="5" type="noConversion"/>
  </si>
  <si>
    <t>Vmware ESXi 5.5</t>
    <phoneticPr fontId="5" type="noConversion"/>
  </si>
  <si>
    <t>支持物理CPU及Core个数</t>
    <phoneticPr fontId="5" type="noConversion"/>
  </si>
  <si>
    <t>40 CPU/120 cores</t>
    <phoneticPr fontId="5" type="noConversion"/>
  </si>
  <si>
    <t>Redhat Linux</t>
    <phoneticPr fontId="5" type="noConversion"/>
  </si>
  <si>
    <t>Monitor</t>
    <phoneticPr fontId="5" type="noConversion"/>
  </si>
  <si>
    <t>Security Health Check</t>
    <phoneticPr fontId="5" type="noConversion"/>
  </si>
  <si>
    <t>每小时单价</t>
    <phoneticPr fontId="5" type="noConversion"/>
  </si>
  <si>
    <t>任务项</t>
    <phoneticPr fontId="5" type="noConversion"/>
  </si>
  <si>
    <t>员工级别</t>
    <phoneticPr fontId="5" type="noConversion"/>
  </si>
  <si>
    <t>工作小时</t>
    <phoneticPr fontId="5" type="noConversion"/>
  </si>
  <si>
    <t>每小时单价</t>
    <phoneticPr fontId="34" type="noConversion"/>
  </si>
  <si>
    <t>成本(人民币)</t>
    <phoneticPr fontId="34" type="noConversion"/>
  </si>
  <si>
    <t>Level 1</t>
    <phoneticPr fontId="34" type="noConversion"/>
  </si>
  <si>
    <r>
      <t>Level 2</t>
    </r>
    <r>
      <rPr>
        <sz val="11"/>
        <color theme="1"/>
        <rFont val="宋体"/>
        <family val="2"/>
        <charset val="134"/>
        <scheme val="minor"/>
      </rPr>
      <t/>
    </r>
  </si>
  <si>
    <r>
      <t>Level 3</t>
    </r>
    <r>
      <rPr>
        <sz val="11"/>
        <color theme="1"/>
        <rFont val="宋体"/>
        <family val="2"/>
        <charset val="134"/>
        <scheme val="minor"/>
      </rPr>
      <t/>
    </r>
  </si>
  <si>
    <r>
      <t>Level 4</t>
    </r>
    <r>
      <rPr>
        <sz val="11"/>
        <color theme="1"/>
        <rFont val="宋体"/>
        <family val="2"/>
        <charset val="134"/>
        <scheme val="minor"/>
      </rPr>
      <t/>
    </r>
  </si>
  <si>
    <r>
      <t>Level 5</t>
    </r>
    <r>
      <rPr>
        <sz val="11"/>
        <color theme="1"/>
        <rFont val="宋体"/>
        <family val="2"/>
        <charset val="134"/>
        <scheme val="minor"/>
      </rPr>
      <t/>
    </r>
  </si>
  <si>
    <r>
      <t>Level 6</t>
    </r>
    <r>
      <rPr>
        <sz val="11"/>
        <color theme="1"/>
        <rFont val="宋体"/>
        <family val="2"/>
        <charset val="134"/>
        <scheme val="minor"/>
      </rPr>
      <t/>
    </r>
  </si>
  <si>
    <r>
      <t>Level 7</t>
    </r>
    <r>
      <rPr>
        <sz val="11"/>
        <color theme="1"/>
        <rFont val="宋体"/>
        <family val="2"/>
        <charset val="134"/>
        <scheme val="minor"/>
      </rPr>
      <t/>
    </r>
  </si>
  <si>
    <t>需求分析和架构设计工作</t>
    <phoneticPr fontId="5" type="noConversion"/>
  </si>
  <si>
    <t>需求分析和架构设计</t>
    <phoneticPr fontId="5" type="noConversion"/>
  </si>
  <si>
    <t>开发应用/IDC基础设施的需求</t>
    <phoneticPr fontId="34" type="noConversion"/>
  </si>
  <si>
    <t>开发应用/应用迁移架构设计文档</t>
    <phoneticPr fontId="34" type="noConversion"/>
  </si>
  <si>
    <t>开发IDC基础设施架构设计文档</t>
    <phoneticPr fontId="34" type="noConversion"/>
  </si>
  <si>
    <t>开发应用/应用迁移的详细设计设计文档</t>
    <phoneticPr fontId="34" type="noConversion"/>
  </si>
  <si>
    <t>开发IDC基础设施集成/扩容的详细设计文档</t>
    <phoneticPr fontId="34" type="noConversion"/>
  </si>
  <si>
    <t>项目管理</t>
    <phoneticPr fontId="5" type="noConversion"/>
  </si>
  <si>
    <t>项目管理工作</t>
    <phoneticPr fontId="5" type="noConversion"/>
  </si>
  <si>
    <t>项目管理 - 项目初始</t>
    <phoneticPr fontId="5" type="noConversion"/>
  </si>
  <si>
    <t>项目管理 - 项目计划</t>
    <phoneticPr fontId="5" type="noConversion"/>
  </si>
  <si>
    <t>项目管理 - 项目执行</t>
    <phoneticPr fontId="5" type="noConversion"/>
  </si>
  <si>
    <t>项目管理 - 项目控制</t>
    <phoneticPr fontId="5" type="noConversion"/>
  </si>
  <si>
    <t>项目管理 - 项目测试</t>
    <phoneticPr fontId="5" type="noConversion"/>
  </si>
  <si>
    <t>项目管理 - 项目上线</t>
    <phoneticPr fontId="5" type="noConversion"/>
  </si>
  <si>
    <t>项目管理 - 项目交维</t>
    <phoneticPr fontId="34" type="noConversion"/>
  </si>
  <si>
    <t>项目管理 - 项目关闭</t>
    <phoneticPr fontId="5" type="noConversion"/>
  </si>
  <si>
    <t>Level 8</t>
    <phoneticPr fontId="5" type="noConversion"/>
  </si>
  <si>
    <t>IDC集成服务</t>
    <phoneticPr fontId="34" type="noConversion"/>
  </si>
  <si>
    <t>IDC集成服务工作</t>
    <phoneticPr fontId="34" type="noConversion"/>
  </si>
  <si>
    <t>产品询价和下单</t>
    <phoneticPr fontId="34" type="noConversion"/>
  </si>
  <si>
    <t>硬件到货和签收</t>
    <phoneticPr fontId="5" type="noConversion"/>
  </si>
  <si>
    <t>硬件上架和加电</t>
    <phoneticPr fontId="5" type="noConversion"/>
  </si>
  <si>
    <t>提供硬件连线和联通性测试</t>
    <phoneticPr fontId="34" type="noConversion"/>
  </si>
  <si>
    <t>提供Vmware ESXi初始化安装和配置</t>
    <phoneticPr fontId="34" type="noConversion"/>
  </si>
  <si>
    <t>提供Windows初始化安装和配置</t>
    <phoneticPr fontId="34" type="noConversion"/>
  </si>
  <si>
    <t>提供Linux初始化安装和配置</t>
    <phoneticPr fontId="34" type="noConversion"/>
  </si>
  <si>
    <t>提供vCenter和vSwitch初始化安装和配置</t>
    <phoneticPr fontId="34" type="noConversion"/>
  </si>
  <si>
    <t>提供路由器初始化安装和配置</t>
    <phoneticPr fontId="34" type="noConversion"/>
  </si>
  <si>
    <t>提供交换机初始化安装和配置</t>
    <phoneticPr fontId="34" type="noConversion"/>
  </si>
  <si>
    <t>提供防火墙初始化安装和配置</t>
    <phoneticPr fontId="34" type="noConversion"/>
  </si>
  <si>
    <t>安装和配置网络监控工具</t>
    <phoneticPr fontId="34" type="noConversion"/>
  </si>
  <si>
    <t>执行防火墙配置变更，如ACL访问策略设置</t>
    <phoneticPr fontId="34" type="noConversion"/>
  </si>
  <si>
    <t>安装和配置Vmware Update Server补丁服务器</t>
    <phoneticPr fontId="34" type="noConversion"/>
  </si>
  <si>
    <t>安装和配置Windows Server补丁服务器</t>
    <phoneticPr fontId="34" type="noConversion"/>
  </si>
  <si>
    <t>安装和配置Linux Server补丁服务器</t>
    <phoneticPr fontId="34" type="noConversion"/>
  </si>
  <si>
    <t>安装和配置云平台服务器</t>
    <phoneticPr fontId="34" type="noConversion"/>
  </si>
  <si>
    <t>安装和配置防病毒服务器</t>
    <phoneticPr fontId="34" type="noConversion"/>
  </si>
  <si>
    <t>修改集成文档</t>
    <phoneticPr fontId="34" type="noConversion"/>
  </si>
  <si>
    <t>安装和配置下包的设备</t>
    <phoneticPr fontId="34" type="noConversion"/>
  </si>
  <si>
    <t>安装和配置应用</t>
    <phoneticPr fontId="34" type="noConversion"/>
  </si>
  <si>
    <t>执行应用和数据迁移</t>
    <phoneticPr fontId="5" type="noConversion"/>
  </si>
  <si>
    <t>安装和配置性能检查工具，如NMON</t>
    <phoneticPr fontId="34" type="noConversion"/>
  </si>
  <si>
    <t>安装和配置系统监控工具，如IBM Tivoli Monitor</t>
    <phoneticPr fontId="34" type="noConversion"/>
  </si>
  <si>
    <t>安装和配置系统健康检查工具，如IBM TSCM</t>
    <phoneticPr fontId="34" type="noConversion"/>
  </si>
  <si>
    <t>安装和配置中间件</t>
    <phoneticPr fontId="34" type="noConversion"/>
  </si>
  <si>
    <t>安装和配置数据库</t>
    <phoneticPr fontId="34" type="noConversion"/>
  </si>
  <si>
    <t>分配IP地址</t>
    <phoneticPr fontId="34" type="noConversion"/>
  </si>
  <si>
    <t>安装和配置NTP时间同步服务器</t>
    <phoneticPr fontId="34" type="noConversion"/>
  </si>
  <si>
    <t>安装和配置网络存储</t>
    <phoneticPr fontId="34" type="noConversion"/>
  </si>
  <si>
    <t>安装和配置带库</t>
    <phoneticPr fontId="34" type="noConversion"/>
  </si>
  <si>
    <t>安装和配置系统日志服务器，如SYSLOG</t>
    <phoneticPr fontId="34" type="noConversion"/>
  </si>
  <si>
    <t>应用开发服务</t>
    <phoneticPr fontId="34" type="noConversion"/>
  </si>
  <si>
    <t xml:space="preserve">应用开发服务工作 </t>
    <phoneticPr fontId="34" type="noConversion"/>
  </si>
  <si>
    <t>代码开发 - XX系统 XX部件</t>
    <phoneticPr fontId="34" type="noConversion"/>
  </si>
  <si>
    <t>制定测试计划</t>
    <phoneticPr fontId="34" type="noConversion"/>
  </si>
  <si>
    <t>书写测试用例</t>
    <phoneticPr fontId="34" type="noConversion"/>
  </si>
  <si>
    <t>单元测试 - XX系统 XX部件</t>
    <phoneticPr fontId="34" type="noConversion"/>
  </si>
  <si>
    <t>集成测试</t>
    <phoneticPr fontId="34" type="noConversion"/>
  </si>
  <si>
    <t>UAT测试</t>
    <phoneticPr fontId="34" type="noConversion"/>
  </si>
  <si>
    <t>应用测试服务工作</t>
    <phoneticPr fontId="34" type="noConversion"/>
  </si>
  <si>
    <t>应用测试服务</t>
    <phoneticPr fontId="34" type="noConversion"/>
  </si>
  <si>
    <t>应用交维服务</t>
    <phoneticPr fontId="34" type="noConversion"/>
  </si>
  <si>
    <t>应用交维服务工作</t>
    <phoneticPr fontId="34" type="noConversion"/>
  </si>
  <si>
    <t>执行人力成本</t>
    <phoneticPr fontId="5" type="noConversion"/>
  </si>
  <si>
    <t>撰写用户操作手册</t>
    <phoneticPr fontId="34" type="noConversion"/>
  </si>
  <si>
    <t>撰写系统操作手册</t>
    <phoneticPr fontId="34" type="noConversion"/>
  </si>
  <si>
    <t>交维培训</t>
    <phoneticPr fontId="34" type="noConversion"/>
  </si>
  <si>
    <t>修改运营操作文档</t>
    <phoneticPr fontId="34" type="noConversion"/>
  </si>
  <si>
    <t>执行正式交维</t>
    <phoneticPr fontId="34" type="noConversion"/>
  </si>
  <si>
    <t>交维后的支持</t>
    <phoneticPr fontId="34" type="noConversion"/>
  </si>
  <si>
    <t xml:space="preserve">一次性执行人力成本投入表 </t>
    <phoneticPr fontId="5" type="noConversion"/>
  </si>
  <si>
    <t xml:space="preserve">一次性软件投入表 </t>
    <phoneticPr fontId="5" type="noConversion"/>
  </si>
  <si>
    <t xml:space="preserve">一次性硬件投入表 </t>
    <phoneticPr fontId="5" type="noConversion"/>
  </si>
  <si>
    <t>每月应用和IDC基础设施的工单数</t>
    <phoneticPr fontId="5" type="noConversion"/>
  </si>
  <si>
    <t>差旅花费项目</t>
    <phoneticPr fontId="5" type="noConversion"/>
  </si>
  <si>
    <t>机票/火车票/打的费用</t>
    <phoneticPr fontId="5" type="noConversion"/>
  </si>
  <si>
    <t>次数</t>
    <phoneticPr fontId="5" type="noConversion"/>
  </si>
  <si>
    <t>每次平均成本（人民币）</t>
    <phoneticPr fontId="5" type="noConversion"/>
  </si>
  <si>
    <t>年份</t>
    <phoneticPr fontId="5" type="noConversion"/>
  </si>
  <si>
    <t>住宿费</t>
    <phoneticPr fontId="5" type="noConversion"/>
  </si>
  <si>
    <t>补助</t>
    <phoneticPr fontId="5" type="noConversion"/>
  </si>
  <si>
    <t>其他（如邮寄费、打印费等）</t>
    <phoneticPr fontId="5" type="noConversion"/>
  </si>
  <si>
    <t>差旅花费项目</t>
    <phoneticPr fontId="5" type="noConversion"/>
  </si>
  <si>
    <t>运营人力成本</t>
    <phoneticPr fontId="5" type="noConversion"/>
  </si>
  <si>
    <t>每多少人配一个组长</t>
    <phoneticPr fontId="5" type="noConversion"/>
  </si>
  <si>
    <t>每多少人配一个经理</t>
    <phoneticPr fontId="5" type="noConversion"/>
  </si>
  <si>
    <t>计算比率（Ratio）</t>
    <phoneticPr fontId="5" type="noConversion"/>
  </si>
  <si>
    <t>全职员工数（FTE)</t>
    <phoneticPr fontId="5" type="noConversion"/>
  </si>
  <si>
    <t>服务台一线支持（Level 1）</t>
    <phoneticPr fontId="5" type="noConversion"/>
  </si>
  <si>
    <t>服务台组长</t>
    <phoneticPr fontId="5" type="noConversion"/>
  </si>
  <si>
    <t>服务经理</t>
    <phoneticPr fontId="5" type="noConversion"/>
  </si>
  <si>
    <t>持续运营人力成本投入表-应用运营支持</t>
    <phoneticPr fontId="5" type="noConversion"/>
  </si>
  <si>
    <t>持续运营人力成本投入表-Call Center运营支持</t>
    <phoneticPr fontId="5" type="noConversion"/>
  </si>
  <si>
    <t>每月新需求处理数</t>
    <phoneticPr fontId="38" type="noConversion"/>
  </si>
  <si>
    <t>每月应用的工单数</t>
    <phoneticPr fontId="5" type="noConversion"/>
  </si>
  <si>
    <t>应用支持二线（Level 2）</t>
    <phoneticPr fontId="5" type="noConversion"/>
  </si>
  <si>
    <t>应用支持三线（Level 3）</t>
    <phoneticPr fontId="5" type="noConversion"/>
  </si>
  <si>
    <t>需求分析人员(BA)</t>
    <phoneticPr fontId="5" type="noConversion"/>
  </si>
  <si>
    <t>每月开发及发布的处理数</t>
    <phoneticPr fontId="5" type="noConversion"/>
  </si>
  <si>
    <t>合计</t>
    <phoneticPr fontId="38" type="noConversion"/>
  </si>
  <si>
    <t>持续运营人力成本投入表-IDC基础设施运营支持</t>
    <phoneticPr fontId="5" type="noConversion"/>
  </si>
  <si>
    <t>每月系统运营监控及机房管理的工单数</t>
    <phoneticPr fontId="5" type="noConversion"/>
  </si>
  <si>
    <t>数据库支持二线（Level 2）</t>
    <phoneticPr fontId="5" type="noConversion"/>
  </si>
  <si>
    <t>中间件支持二线（Level 2）</t>
    <phoneticPr fontId="5" type="noConversion"/>
  </si>
  <si>
    <t>网络支持二线（Level 2）</t>
    <phoneticPr fontId="5" type="noConversion"/>
  </si>
  <si>
    <t>操作系统支持二线（Level 2）</t>
    <phoneticPr fontId="5" type="noConversion"/>
  </si>
  <si>
    <t>系统运营监控及机房管理二线（Level 2）</t>
    <phoneticPr fontId="5" type="noConversion"/>
  </si>
  <si>
    <t>应用支持组组长</t>
    <phoneticPr fontId="5" type="noConversion"/>
  </si>
  <si>
    <t>存储支持二线（Level 2）</t>
    <phoneticPr fontId="5" type="noConversion"/>
  </si>
  <si>
    <t>员工级别</t>
    <phoneticPr fontId="5" type="noConversion"/>
  </si>
  <si>
    <t>每多少人配一个经理</t>
    <phoneticPr fontId="5" type="noConversion"/>
  </si>
  <si>
    <t>Level 8</t>
    <phoneticPr fontId="5" type="noConversion"/>
  </si>
  <si>
    <t>全职员工数（FTE)</t>
    <phoneticPr fontId="5" type="noConversion"/>
  </si>
  <si>
    <t>IDC支持二线组长</t>
    <phoneticPr fontId="5" type="noConversion"/>
  </si>
  <si>
    <t>服务经理</t>
    <phoneticPr fontId="5" type="noConversion"/>
  </si>
  <si>
    <t>支持数据库的个数</t>
    <phoneticPr fontId="5" type="noConversion"/>
  </si>
  <si>
    <t>支持中间件的个数</t>
    <phoneticPr fontId="5" type="noConversion"/>
  </si>
  <si>
    <t>支持网络设备的个数</t>
    <phoneticPr fontId="5" type="noConversion"/>
  </si>
  <si>
    <t>支持操作系统的个数</t>
    <phoneticPr fontId="5" type="noConversion"/>
  </si>
  <si>
    <t>每月存储设备的TB数</t>
    <phoneticPr fontId="5" type="noConversion"/>
  </si>
  <si>
    <t>2015年</t>
    <phoneticPr fontId="38" type="noConversion"/>
  </si>
  <si>
    <t>2016年</t>
    <phoneticPr fontId="38" type="noConversion"/>
  </si>
  <si>
    <t>2017年</t>
    <phoneticPr fontId="38" type="noConversion"/>
  </si>
  <si>
    <t>2018年</t>
    <phoneticPr fontId="38" type="noConversion"/>
  </si>
  <si>
    <t>2019年</t>
    <phoneticPr fontId="38" type="noConversion"/>
  </si>
  <si>
    <t>第一年</t>
    <phoneticPr fontId="5" type="noConversion"/>
  </si>
  <si>
    <t>第二年</t>
    <phoneticPr fontId="5" type="noConversion"/>
  </si>
  <si>
    <t>第三年</t>
    <phoneticPr fontId="5" type="noConversion"/>
  </si>
  <si>
    <t>第四年</t>
    <phoneticPr fontId="5" type="noConversion"/>
  </si>
  <si>
    <t>第五年</t>
    <phoneticPr fontId="5" type="noConversion"/>
  </si>
</sst>
</file>

<file path=xl/styles.xml><?xml version="1.0" encoding="utf-8"?>
<styleSheet xmlns="http://schemas.openxmlformats.org/spreadsheetml/2006/main">
  <numFmts count="19">
    <numFmt numFmtId="176" formatCode="&quot;$&quot;#,##0_);[Red]\(&quot;$&quot;#,##0\)"/>
    <numFmt numFmtId="177" formatCode="&quot;$&quot;#,##0.00;\-&quot;$&quot;#,##0.00"/>
    <numFmt numFmtId="178" formatCode="&quot;$&quot;#,##0.00;[Red]\-&quot;$&quot;#,##0.00"/>
    <numFmt numFmtId="179" formatCode="_-* #,##0_-;\-* #,##0_-;_-* &quot;-&quot;_-;_-@_-"/>
    <numFmt numFmtId="180" formatCode="_-&quot;$&quot;* #,##0.00_-;\-&quot;$&quot;* #,##0.00_-;_-&quot;$&quot;* &quot;-&quot;??_-;_-@_-"/>
    <numFmt numFmtId="181" formatCode="_-* #,##0.00_-;\-* #,##0.00_-;_-* &quot;-&quot;??_-;_-@_-"/>
    <numFmt numFmtId="182" formatCode="#,##0;#,##0;&quot;-&quot;"/>
    <numFmt numFmtId="183" formatCode="#,##0.0;#,##0.0;&quot;-&quot;"/>
    <numFmt numFmtId="184" formatCode="0.0"/>
    <numFmt numFmtId="185" formatCode="&quot;$&quot;#,##0.00"/>
    <numFmt numFmtId="186" formatCode="0.0000"/>
    <numFmt numFmtId="187" formatCode="#,##0.00_ ;\-#,##0.00\ "/>
    <numFmt numFmtId="188" formatCode="#,##0.0000"/>
    <numFmt numFmtId="189" formatCode="0;[Red]0"/>
    <numFmt numFmtId="190" formatCode="0.000000"/>
    <numFmt numFmtId="191" formatCode="0.00_ "/>
    <numFmt numFmtId="192" formatCode="#,##0.00_);[Red]\(#,##0.00\)"/>
    <numFmt numFmtId="193" formatCode="#,##0.00_ "/>
    <numFmt numFmtId="194" formatCode="0_ "/>
  </numFmts>
  <fonts count="58">
    <font>
      <sz val="10"/>
      <name val="Arial"/>
      <family val="2"/>
    </font>
    <font>
      <sz val="11"/>
      <color theme="1"/>
      <name val="宋体"/>
      <family val="2"/>
      <charset val="134"/>
      <scheme val="minor"/>
    </font>
    <font>
      <sz val="10"/>
      <name val="Arial"/>
      <family val="2"/>
    </font>
    <font>
      <sz val="10"/>
      <name val="Arial"/>
      <family val="2"/>
    </font>
    <font>
      <u/>
      <sz val="10"/>
      <color indexed="12"/>
      <name val="Arial"/>
      <family val="2"/>
    </font>
    <font>
      <sz val="8"/>
      <name val="Arial"/>
      <family val="2"/>
    </font>
    <font>
      <sz val="8"/>
      <name val="Arial"/>
      <family val="2"/>
    </font>
    <font>
      <sz val="10"/>
      <name val="Helv"/>
      <family val="2"/>
    </font>
    <font>
      <b/>
      <sz val="8"/>
      <name val="Arial"/>
      <family val="2"/>
    </font>
    <font>
      <sz val="8"/>
      <color indexed="10"/>
      <name val="Arial"/>
      <family val="2"/>
    </font>
    <font>
      <sz val="12"/>
      <name val="Times New Roman"/>
      <family val="1"/>
    </font>
    <font>
      <b/>
      <sz val="8"/>
      <name val="Arial"/>
      <family val="2"/>
    </font>
    <font>
      <i/>
      <sz val="8"/>
      <name val="Arial"/>
      <family val="2"/>
    </font>
    <font>
      <b/>
      <sz val="8"/>
      <color indexed="10"/>
      <name val="Arial"/>
      <family val="2"/>
    </font>
    <font>
      <sz val="8"/>
      <color indexed="9"/>
      <name val="Arial"/>
      <family val="2"/>
    </font>
    <font>
      <b/>
      <i/>
      <sz val="8"/>
      <name val="Arial"/>
      <family val="2"/>
    </font>
    <font>
      <b/>
      <sz val="8"/>
      <color indexed="48"/>
      <name val="Arial"/>
      <family val="2"/>
    </font>
    <font>
      <b/>
      <sz val="8"/>
      <color indexed="57"/>
      <name val="Arial"/>
      <family val="2"/>
    </font>
    <font>
      <sz val="8"/>
      <color indexed="57"/>
      <name val="Arial"/>
      <family val="2"/>
    </font>
    <font>
      <sz val="8"/>
      <color indexed="12"/>
      <name val="Arial"/>
      <family val="2"/>
    </font>
    <font>
      <sz val="8"/>
      <color indexed="48"/>
      <name val="Arial"/>
      <family val="2"/>
    </font>
    <font>
      <sz val="9"/>
      <color indexed="18"/>
      <name val="Tahoma"/>
      <family val="2"/>
    </font>
    <font>
      <b/>
      <sz val="8"/>
      <color indexed="81"/>
      <name val="Tahoma"/>
      <family val="2"/>
    </font>
    <font>
      <b/>
      <sz val="8"/>
      <color indexed="12"/>
      <name val="Arial"/>
      <family val="2"/>
    </font>
    <font>
      <b/>
      <sz val="8"/>
      <color indexed="20"/>
      <name val="Arial"/>
      <family val="2"/>
    </font>
    <font>
      <sz val="8"/>
      <color indexed="10"/>
      <name val="Arial"/>
      <family val="2"/>
    </font>
    <font>
      <sz val="8"/>
      <color indexed="81"/>
      <name val="Tahoma"/>
      <family val="2"/>
    </font>
    <font>
      <b/>
      <sz val="8"/>
      <color indexed="61"/>
      <name val="Arial"/>
      <family val="2"/>
    </font>
    <font>
      <sz val="10"/>
      <color indexed="9"/>
      <name val="Arial"/>
      <family val="2"/>
    </font>
    <font>
      <b/>
      <sz val="8"/>
      <color indexed="14"/>
      <name val="Arial"/>
      <family val="2"/>
    </font>
    <font>
      <b/>
      <sz val="8"/>
      <color indexed="23"/>
      <name val="Arial"/>
      <family val="2"/>
    </font>
    <font>
      <sz val="8"/>
      <color indexed="9"/>
      <name val="Arial"/>
      <family val="2"/>
    </font>
    <font>
      <b/>
      <sz val="9"/>
      <name val="Arial"/>
      <family val="2"/>
    </font>
    <font>
      <sz val="9"/>
      <name val="Arial"/>
      <family val="2"/>
    </font>
    <font>
      <sz val="8"/>
      <name val="Arial"/>
      <family val="2"/>
    </font>
    <font>
      <sz val="10"/>
      <color indexed="10"/>
      <name val="Arial"/>
      <family val="2"/>
    </font>
    <font>
      <sz val="11"/>
      <name val="Times New Roman"/>
      <family val="1"/>
    </font>
    <font>
      <sz val="11"/>
      <color theme="1"/>
      <name val="Calibri"/>
      <family val="2"/>
    </font>
    <font>
      <sz val="9"/>
      <name val="宋体"/>
      <family val="3"/>
      <charset val="134"/>
    </font>
    <font>
      <u/>
      <sz val="11"/>
      <color theme="1"/>
      <name val="Calibri"/>
      <family val="2"/>
    </font>
    <font>
      <b/>
      <sz val="12"/>
      <color rgb="FF000000"/>
      <name val="微软雅黑"/>
      <family val="2"/>
      <charset val="134"/>
    </font>
    <font>
      <sz val="12"/>
      <color rgb="FF000000"/>
      <name val="微软雅黑"/>
      <family val="2"/>
      <charset val="134"/>
    </font>
    <font>
      <sz val="12"/>
      <color rgb="FFFF0000"/>
      <name val="微软雅黑"/>
      <family val="2"/>
      <charset val="134"/>
    </font>
    <font>
      <sz val="12"/>
      <color theme="1"/>
      <name val="Calibri"/>
      <family val="2"/>
    </font>
    <font>
      <b/>
      <sz val="12"/>
      <name val="微软雅黑"/>
      <family val="2"/>
      <charset val="134"/>
    </font>
    <font>
      <sz val="12"/>
      <name val="微软雅黑"/>
      <family val="2"/>
      <charset val="134"/>
    </font>
    <font>
      <sz val="10"/>
      <name val="微软雅黑"/>
      <family val="2"/>
      <charset val="134"/>
    </font>
    <font>
      <sz val="8"/>
      <name val="微软雅黑"/>
      <family val="2"/>
      <charset val="134"/>
    </font>
    <font>
      <b/>
      <sz val="8"/>
      <name val="微软雅黑"/>
      <family val="2"/>
      <charset val="134"/>
    </font>
    <font>
      <sz val="8"/>
      <color theme="1"/>
      <name val="微软雅黑"/>
      <family val="2"/>
      <charset val="134"/>
    </font>
    <font>
      <sz val="8"/>
      <color indexed="8"/>
      <name val="微软雅黑"/>
      <family val="2"/>
      <charset val="134"/>
    </font>
    <font>
      <b/>
      <sz val="8"/>
      <color indexed="8"/>
      <name val="微软雅黑"/>
      <family val="2"/>
      <charset val="134"/>
    </font>
    <font>
      <b/>
      <sz val="8"/>
      <color theme="1"/>
      <name val="微软雅黑"/>
      <family val="2"/>
      <charset val="134"/>
    </font>
    <font>
      <sz val="8"/>
      <color indexed="12"/>
      <name val="微软雅黑"/>
      <family val="2"/>
      <charset val="134"/>
    </font>
    <font>
      <sz val="8"/>
      <color indexed="48"/>
      <name val="微软雅黑"/>
      <family val="2"/>
      <charset val="134"/>
    </font>
    <font>
      <b/>
      <sz val="8"/>
      <color indexed="10"/>
      <name val="微软雅黑"/>
      <family val="2"/>
      <charset val="134"/>
    </font>
    <font>
      <b/>
      <sz val="10"/>
      <name val="微软雅黑"/>
      <family val="2"/>
      <charset val="134"/>
    </font>
    <font>
      <u/>
      <sz val="10"/>
      <color indexed="12"/>
      <name val="微软雅黑"/>
      <family val="2"/>
      <charset val="134"/>
    </font>
  </fonts>
  <fills count="11">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55"/>
        <bgColor indexed="64"/>
      </patternFill>
    </fill>
    <fill>
      <patternFill patternType="solid">
        <fgColor indexed="9"/>
        <bgColor indexed="64"/>
      </patternFill>
    </fill>
    <fill>
      <patternFill patternType="solid">
        <fgColor indexed="46"/>
        <bgColor indexed="64"/>
      </patternFill>
    </fill>
    <fill>
      <patternFill patternType="solid">
        <fgColor indexed="44"/>
        <bgColor indexed="64"/>
      </patternFill>
    </fill>
    <fill>
      <patternFill patternType="solid">
        <fgColor indexed="42"/>
        <bgColor indexed="64"/>
      </patternFill>
    </fill>
    <fill>
      <patternFill patternType="solid">
        <fgColor indexed="43"/>
        <bgColor indexed="64"/>
      </patternFill>
    </fill>
    <fill>
      <patternFill patternType="solid">
        <fgColor indexed="8"/>
        <bgColor indexed="64"/>
      </patternFill>
    </fill>
  </fills>
  <borders count="36">
    <border>
      <left/>
      <right/>
      <top/>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s>
  <cellStyleXfs count="7">
    <xf numFmtId="0" fontId="0" fillId="0" borderId="0"/>
    <xf numFmtId="0" fontId="10" fillId="0" borderId="0"/>
    <xf numFmtId="0" fontId="7" fillId="0" borderId="0"/>
    <xf numFmtId="0" fontId="7" fillId="0" borderId="0"/>
    <xf numFmtId="9" fontId="2" fillId="0" borderId="0" applyFont="0" applyFill="0" applyBorder="0" applyAlignment="0" applyProtection="0"/>
    <xf numFmtId="0" fontId="4" fillId="0" borderId="0" applyNumberFormat="0" applyFill="0" applyBorder="0" applyAlignment="0" applyProtection="0">
      <alignment vertical="top"/>
      <protection locked="0"/>
    </xf>
    <xf numFmtId="180" fontId="2" fillId="0" borderId="0" applyFont="0" applyFill="0" applyBorder="0" applyAlignment="0" applyProtection="0"/>
  </cellStyleXfs>
  <cellXfs count="416">
    <xf numFmtId="0" fontId="0" fillId="0" borderId="0" xfId="0"/>
    <xf numFmtId="0" fontId="5" fillId="0" borderId="0" xfId="0" applyFont="1"/>
    <xf numFmtId="0" fontId="6" fillId="0" borderId="0" xfId="0" applyFont="1" applyFill="1"/>
    <xf numFmtId="0" fontId="6" fillId="0" borderId="0" xfId="0" applyFont="1"/>
    <xf numFmtId="0" fontId="6" fillId="0" borderId="0" xfId="0" applyFont="1" applyAlignment="1">
      <alignment horizontal="left" indent="1"/>
    </xf>
    <xf numFmtId="0" fontId="5" fillId="0" borderId="0" xfId="0" applyFont="1" applyBorder="1"/>
    <xf numFmtId="0" fontId="8" fillId="0" borderId="0" xfId="0" applyFont="1"/>
    <xf numFmtId="0" fontId="6" fillId="0" borderId="0" xfId="0" applyFont="1" applyFill="1" applyBorder="1" applyAlignment="1">
      <alignment horizontal="left"/>
    </xf>
    <xf numFmtId="0" fontId="6" fillId="0" borderId="0" xfId="0" applyFont="1" applyBorder="1" applyAlignment="1">
      <alignment horizontal="left"/>
    </xf>
    <xf numFmtId="0" fontId="8" fillId="0" borderId="0" xfId="0" applyFont="1" applyBorder="1"/>
    <xf numFmtId="0" fontId="6" fillId="0" borderId="0" xfId="0" applyFont="1" applyAlignment="1">
      <alignment horizontal="left"/>
    </xf>
    <xf numFmtId="0" fontId="15" fillId="0" borderId="0" xfId="0" applyFont="1"/>
    <xf numFmtId="0" fontId="6" fillId="0" borderId="0" xfId="0" applyFont="1" applyBorder="1"/>
    <xf numFmtId="0" fontId="6" fillId="0" borderId="0" xfId="0" applyFont="1" applyAlignment="1">
      <alignment horizontal="center"/>
    </xf>
    <xf numFmtId="0" fontId="6" fillId="0" borderId="0" xfId="0" applyFont="1" applyBorder="1" applyAlignment="1">
      <alignment horizontal="center"/>
    </xf>
    <xf numFmtId="0" fontId="8" fillId="3" borderId="0" xfId="0" applyFont="1" applyFill="1" applyAlignment="1">
      <alignment horizontal="center"/>
    </xf>
    <xf numFmtId="0" fontId="8" fillId="3" borderId="0" xfId="0" applyFont="1" applyFill="1" applyAlignment="1">
      <alignment horizontal="left"/>
    </xf>
    <xf numFmtId="0" fontId="8" fillId="4" borderId="0" xfId="0" applyFont="1" applyFill="1" applyAlignment="1">
      <alignment horizontal="center"/>
    </xf>
    <xf numFmtId="0" fontId="8" fillId="3" borderId="0" xfId="0" applyFont="1" applyFill="1"/>
    <xf numFmtId="0" fontId="13" fillId="0" borderId="0" xfId="0" applyFont="1" applyBorder="1" applyAlignment="1">
      <alignment horizontal="left"/>
    </xf>
    <xf numFmtId="0" fontId="17" fillId="0" borderId="0" xfId="0" applyFont="1"/>
    <xf numFmtId="0" fontId="17" fillId="0" borderId="0" xfId="0" applyFont="1" applyAlignment="1">
      <alignment horizontal="left"/>
    </xf>
    <xf numFmtId="2" fontId="17" fillId="0" borderId="0" xfId="0" applyNumberFormat="1" applyFont="1" applyAlignment="1">
      <alignment horizontal="center"/>
    </xf>
    <xf numFmtId="179" fontId="17" fillId="0" borderId="0" xfId="0" applyNumberFormat="1" applyFont="1"/>
    <xf numFmtId="9" fontId="6" fillId="0" borderId="0" xfId="0" applyNumberFormat="1" applyFont="1" applyBorder="1" applyAlignment="1">
      <alignment horizontal="left"/>
    </xf>
    <xf numFmtId="0" fontId="17" fillId="0" borderId="0" xfId="0" applyFont="1" applyFill="1"/>
    <xf numFmtId="0" fontId="17" fillId="0" borderId="0" xfId="0" applyFont="1" applyFill="1" applyAlignment="1">
      <alignment horizontal="left"/>
    </xf>
    <xf numFmtId="179" fontId="6" fillId="0" borderId="0" xfId="0" applyNumberFormat="1" applyFont="1"/>
    <xf numFmtId="0" fontId="8" fillId="0" borderId="0" xfId="0" applyFont="1" applyAlignment="1">
      <alignment horizontal="left"/>
    </xf>
    <xf numFmtId="2" fontId="8" fillId="0" borderId="0" xfId="0" applyNumberFormat="1" applyFont="1" applyAlignment="1">
      <alignment horizontal="center"/>
    </xf>
    <xf numFmtId="179" fontId="8" fillId="0" borderId="0" xfId="0" applyNumberFormat="1" applyFont="1"/>
    <xf numFmtId="0" fontId="12" fillId="0" borderId="0" xfId="0" applyFont="1" applyAlignment="1">
      <alignment horizontal="left" indent="1"/>
    </xf>
    <xf numFmtId="0" fontId="5" fillId="0" borderId="1" xfId="0" applyFont="1" applyBorder="1"/>
    <xf numFmtId="0" fontId="2" fillId="0" borderId="0" xfId="2" applyFont="1"/>
    <xf numFmtId="0" fontId="8" fillId="0" borderId="0" xfId="0" applyFont="1" applyFill="1" applyBorder="1"/>
    <xf numFmtId="0" fontId="8" fillId="0" borderId="0" xfId="0" applyFont="1" applyFill="1"/>
    <xf numFmtId="0" fontId="6" fillId="0" borderId="0" xfId="2" applyFont="1" applyFill="1" applyBorder="1"/>
    <xf numFmtId="0" fontId="6" fillId="0" borderId="0" xfId="0" applyFont="1" applyAlignment="1">
      <alignment horizontal="right"/>
    </xf>
    <xf numFmtId="0" fontId="11" fillId="2" borderId="20" xfId="0" applyFont="1" applyFill="1" applyBorder="1"/>
    <xf numFmtId="0" fontId="11" fillId="2" borderId="21" xfId="0" applyFont="1" applyFill="1" applyBorder="1"/>
    <xf numFmtId="0" fontId="11" fillId="2" borderId="21" xfId="0" applyFont="1" applyFill="1" applyBorder="1" applyAlignment="1"/>
    <xf numFmtId="0" fontId="11" fillId="2" borderId="22" xfId="0" applyFont="1" applyFill="1" applyBorder="1" applyAlignment="1"/>
    <xf numFmtId="0" fontId="5" fillId="0" borderId="14" xfId="0" applyFont="1" applyBorder="1"/>
    <xf numFmtId="0" fontId="5" fillId="5" borderId="18" xfId="0" applyFont="1" applyFill="1" applyBorder="1" applyProtection="1"/>
    <xf numFmtId="0" fontId="5" fillId="0" borderId="18" xfId="0" applyFont="1" applyFill="1" applyBorder="1"/>
    <xf numFmtId="0" fontId="5" fillId="0" borderId="15" xfId="0" applyFont="1" applyFill="1" applyBorder="1"/>
    <xf numFmtId="0" fontId="5" fillId="0" borderId="16" xfId="0" applyFont="1" applyBorder="1"/>
    <xf numFmtId="0" fontId="5" fillId="5" borderId="19" xfId="0" applyFont="1" applyFill="1" applyBorder="1" applyProtection="1"/>
    <xf numFmtId="0" fontId="5" fillId="0" borderId="19" xfId="0" applyFont="1" applyFill="1" applyBorder="1"/>
    <xf numFmtId="0" fontId="5" fillId="0" borderId="17" xfId="0" applyFont="1" applyFill="1" applyBorder="1"/>
    <xf numFmtId="0" fontId="24" fillId="0" borderId="0" xfId="0" applyFont="1" applyBorder="1" applyAlignment="1">
      <alignment horizontal="left"/>
    </xf>
    <xf numFmtId="0" fontId="16" fillId="0" borderId="0" xfId="0" applyFont="1" applyBorder="1"/>
    <xf numFmtId="0" fontId="16" fillId="0" borderId="0" xfId="0" applyFont="1" applyBorder="1" applyAlignment="1">
      <alignment horizontal="left"/>
    </xf>
    <xf numFmtId="2" fontId="13" fillId="0" borderId="0" xfId="0" applyNumberFormat="1" applyFont="1" applyBorder="1" applyAlignment="1">
      <alignment horizontal="center"/>
    </xf>
    <xf numFmtId="179" fontId="13" fillId="0" borderId="0" xfId="0" applyNumberFormat="1" applyFont="1" applyBorder="1"/>
    <xf numFmtId="184" fontId="6" fillId="0" borderId="0" xfId="0" applyNumberFormat="1" applyFont="1" applyBorder="1" applyAlignment="1">
      <alignment horizontal="left"/>
    </xf>
    <xf numFmtId="0" fontId="24" fillId="0" borderId="0" xfId="0" applyFont="1" applyBorder="1"/>
    <xf numFmtId="184" fontId="18" fillId="0" borderId="0" xfId="0" applyNumberFormat="1" applyFont="1" applyFill="1" applyBorder="1" applyAlignment="1">
      <alignment horizontal="left"/>
    </xf>
    <xf numFmtId="0" fontId="23" fillId="0" borderId="0" xfId="0" applyNumberFormat="1" applyFont="1" applyFill="1" applyAlignment="1"/>
    <xf numFmtId="0" fontId="5" fillId="0" borderId="0" xfId="3" applyFont="1"/>
    <xf numFmtId="0" fontId="8" fillId="0" borderId="0" xfId="3" applyFont="1"/>
    <xf numFmtId="0" fontId="6" fillId="0" borderId="0" xfId="3" applyFont="1"/>
    <xf numFmtId="0" fontId="5" fillId="0" borderId="0" xfId="0" applyNumberFormat="1" applyFont="1" applyAlignment="1"/>
    <xf numFmtId="0" fontId="8" fillId="0" borderId="0" xfId="2" applyFont="1" applyFill="1" applyBorder="1"/>
    <xf numFmtId="0" fontId="19" fillId="0" borderId="0" xfId="3" applyFont="1" applyFill="1" applyBorder="1" applyAlignment="1" applyProtection="1">
      <alignment vertical="top" wrapText="1"/>
    </xf>
    <xf numFmtId="0" fontId="8" fillId="0" borderId="0" xfId="3" applyFont="1" applyBorder="1"/>
    <xf numFmtId="0" fontId="6" fillId="0" borderId="0" xfId="3" applyFont="1" applyBorder="1"/>
    <xf numFmtId="0" fontId="7" fillId="0" borderId="0" xfId="3"/>
    <xf numFmtId="0" fontId="8" fillId="0" borderId="1" xfId="0" applyFont="1" applyBorder="1"/>
    <xf numFmtId="0" fontId="15" fillId="0" borderId="7" xfId="0" applyFont="1" applyBorder="1"/>
    <xf numFmtId="9" fontId="8" fillId="0" borderId="12" xfId="0" applyNumberFormat="1" applyFont="1" applyBorder="1"/>
    <xf numFmtId="0" fontId="6" fillId="0" borderId="5" xfId="0" applyFont="1" applyBorder="1"/>
    <xf numFmtId="9" fontId="6" fillId="0" borderId="2" xfId="0" applyNumberFormat="1" applyFont="1" applyBorder="1" applyAlignment="1">
      <alignment horizontal="center"/>
    </xf>
    <xf numFmtId="0" fontId="6" fillId="0" borderId="6" xfId="0" applyFont="1" applyBorder="1"/>
    <xf numFmtId="0" fontId="6" fillId="0" borderId="3" xfId="0" applyFont="1" applyBorder="1" applyAlignment="1">
      <alignment horizontal="center"/>
    </xf>
    <xf numFmtId="9" fontId="6" fillId="0" borderId="13" xfId="0" applyNumberFormat="1" applyFont="1" applyBorder="1" applyAlignment="1">
      <alignment horizontal="center"/>
    </xf>
    <xf numFmtId="0" fontId="6" fillId="0" borderId="0" xfId="0" applyFont="1" applyFill="1" applyAlignment="1">
      <alignment horizontal="left"/>
    </xf>
    <xf numFmtId="1" fontId="6" fillId="0" borderId="0" xfId="0" applyNumberFormat="1" applyFont="1" applyFill="1" applyBorder="1" applyAlignment="1">
      <alignment horizontal="left"/>
    </xf>
    <xf numFmtId="2" fontId="24" fillId="0" borderId="0" xfId="0" applyNumberFormat="1" applyFont="1" applyBorder="1" applyAlignment="1">
      <alignment horizontal="center"/>
    </xf>
    <xf numFmtId="179" fontId="27" fillId="0" borderId="0" xfId="0" applyNumberFormat="1" applyFont="1" applyBorder="1"/>
    <xf numFmtId="0" fontId="5" fillId="0" borderId="18" xfId="0" applyFont="1" applyBorder="1"/>
    <xf numFmtId="0" fontId="3" fillId="0" borderId="3" xfId="0" applyFont="1" applyBorder="1"/>
    <xf numFmtId="0" fontId="9" fillId="0" borderId="0" xfId="0" applyNumberFormat="1" applyFont="1" applyFill="1" applyAlignment="1"/>
    <xf numFmtId="0" fontId="8" fillId="3" borderId="10" xfId="0" applyFont="1" applyFill="1" applyBorder="1" applyAlignment="1">
      <alignment horizontal="left"/>
    </xf>
    <xf numFmtId="0" fontId="8" fillId="3" borderId="11" xfId="0" applyFont="1" applyFill="1" applyBorder="1" applyAlignment="1">
      <alignment horizontal="center"/>
    </xf>
    <xf numFmtId="0" fontId="6" fillId="3" borderId="4" xfId="0" applyFont="1" applyFill="1" applyBorder="1" applyAlignment="1">
      <alignment horizontal="left"/>
    </xf>
    <xf numFmtId="0" fontId="9" fillId="0" borderId="0" xfId="3" applyFont="1" applyBorder="1"/>
    <xf numFmtId="2" fontId="17" fillId="0" borderId="0" xfId="0" applyNumberFormat="1" applyFont="1" applyFill="1" applyAlignment="1">
      <alignment horizontal="center"/>
    </xf>
    <xf numFmtId="9" fontId="6" fillId="0" borderId="0" xfId="0" applyNumberFormat="1" applyFont="1" applyFill="1" applyBorder="1" applyAlignment="1">
      <alignment horizontal="left"/>
    </xf>
    <xf numFmtId="2" fontId="5" fillId="0" borderId="0" xfId="0" applyNumberFormat="1" applyFont="1"/>
    <xf numFmtId="0" fontId="8" fillId="0" borderId="18" xfId="2" applyFont="1" applyFill="1" applyBorder="1"/>
    <xf numFmtId="0" fontId="25" fillId="0" borderId="0" xfId="0" applyNumberFormat="1" applyFont="1" applyAlignment="1"/>
    <xf numFmtId="0" fontId="5" fillId="0" borderId="18" xfId="0" applyNumberFormat="1" applyFont="1" applyFill="1" applyBorder="1" applyAlignment="1"/>
    <xf numFmtId="0" fontId="20" fillId="0" borderId="0" xfId="0" applyFont="1" applyFill="1" applyBorder="1"/>
    <xf numFmtId="0" fontId="0" fillId="0" borderId="0" xfId="0" quotePrefix="1"/>
    <xf numFmtId="0" fontId="14" fillId="0" borderId="0" xfId="0" applyFont="1" applyBorder="1"/>
    <xf numFmtId="0" fontId="14" fillId="0" borderId="0" xfId="0" applyFont="1"/>
    <xf numFmtId="0" fontId="14" fillId="0" borderId="0" xfId="0" applyFont="1" applyFill="1"/>
    <xf numFmtId="0" fontId="14" fillId="0" borderId="0" xfId="0" applyFont="1" applyFill="1" applyBorder="1"/>
    <xf numFmtId="189" fontId="14" fillId="0" borderId="0" xfId="0" applyNumberFormat="1" applyFont="1" applyFill="1" applyBorder="1"/>
    <xf numFmtId="1" fontId="14" fillId="0" borderId="0" xfId="0" applyNumberFormat="1" applyFont="1" applyBorder="1"/>
    <xf numFmtId="186" fontId="14" fillId="0" borderId="0" xfId="0" applyNumberFormat="1" applyFont="1"/>
    <xf numFmtId="0" fontId="28" fillId="0" borderId="0" xfId="0" applyFont="1"/>
    <xf numFmtId="0" fontId="14" fillId="0" borderId="12" xfId="0" applyFont="1" applyBorder="1"/>
    <xf numFmtId="0" fontId="14" fillId="0" borderId="13" xfId="0" applyFont="1" applyBorder="1"/>
    <xf numFmtId="0" fontId="14" fillId="10" borderId="0" xfId="0" applyFont="1" applyFill="1" applyBorder="1"/>
    <xf numFmtId="0" fontId="14" fillId="10" borderId="3" xfId="0" applyFont="1" applyFill="1" applyBorder="1"/>
    <xf numFmtId="0" fontId="14" fillId="10" borderId="1" xfId="0" applyFont="1" applyFill="1" applyBorder="1"/>
    <xf numFmtId="0" fontId="14" fillId="10" borderId="12" xfId="0" applyFont="1" applyFill="1" applyBorder="1"/>
    <xf numFmtId="0" fontId="14" fillId="10" borderId="2" xfId="0" applyFont="1" applyFill="1" applyBorder="1"/>
    <xf numFmtId="0" fontId="14" fillId="0" borderId="2" xfId="0" applyFont="1" applyBorder="1"/>
    <xf numFmtId="0" fontId="14" fillId="10" borderId="18" xfId="0" applyFont="1" applyFill="1" applyBorder="1"/>
    <xf numFmtId="0" fontId="14" fillId="10" borderId="15" xfId="0" applyFont="1" applyFill="1" applyBorder="1"/>
    <xf numFmtId="0" fontId="14" fillId="10" borderId="13" xfId="0" applyFont="1" applyFill="1" applyBorder="1"/>
    <xf numFmtId="0" fontId="5" fillId="0" borderId="0" xfId="0" applyFont="1" applyAlignment="1">
      <alignment wrapText="1"/>
    </xf>
    <xf numFmtId="0" fontId="6" fillId="7" borderId="9" xfId="0" applyFont="1" applyFill="1" applyBorder="1"/>
    <xf numFmtId="0" fontId="9" fillId="5" borderId="0" xfId="0" applyFont="1" applyFill="1" applyBorder="1"/>
    <xf numFmtId="0" fontId="9" fillId="5" borderId="0" xfId="0" applyFont="1" applyFill="1"/>
    <xf numFmtId="0" fontId="6" fillId="9" borderId="18" xfId="0" applyFont="1" applyFill="1" applyBorder="1" applyAlignment="1">
      <alignment horizontal="left" vertical="center" wrapText="1"/>
    </xf>
    <xf numFmtId="0" fontId="6" fillId="9" borderId="18" xfId="0" applyFont="1" applyFill="1" applyBorder="1" applyAlignment="1">
      <alignment horizontal="center" vertical="center" wrapText="1"/>
    </xf>
    <xf numFmtId="0" fontId="6" fillId="0" borderId="0" xfId="0" applyFont="1" applyBorder="1" applyAlignment="1">
      <alignment vertical="center" wrapText="1"/>
    </xf>
    <xf numFmtId="0" fontId="6" fillId="9" borderId="18" xfId="0" applyFont="1" applyFill="1" applyBorder="1" applyAlignment="1">
      <alignment vertical="center" wrapText="1"/>
    </xf>
    <xf numFmtId="0" fontId="6" fillId="0" borderId="18" xfId="0" applyFont="1" applyBorder="1" applyAlignment="1">
      <alignment horizontal="left" vertical="center" wrapText="1"/>
    </xf>
    <xf numFmtId="0" fontId="6" fillId="0" borderId="18" xfId="0" applyFont="1" applyBorder="1" applyAlignment="1">
      <alignment horizontal="center" vertical="center" wrapText="1"/>
    </xf>
    <xf numFmtId="0" fontId="6" fillId="0" borderId="18" xfId="0" applyFont="1" applyBorder="1" applyAlignment="1">
      <alignment vertical="center" wrapText="1"/>
    </xf>
    <xf numFmtId="0" fontId="6" fillId="8" borderId="18" xfId="0" applyFont="1" applyFill="1" applyBorder="1" applyAlignment="1">
      <alignment vertical="center" wrapText="1"/>
    </xf>
    <xf numFmtId="0" fontId="6" fillId="8" borderId="18"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2" borderId="18" xfId="0" applyFont="1" applyFill="1" applyBorder="1" applyAlignment="1">
      <alignment vertical="center" wrapText="1"/>
    </xf>
    <xf numFmtId="0" fontId="6" fillId="2" borderId="18" xfId="0" applyFont="1" applyFill="1" applyBorder="1" applyAlignment="1">
      <alignment horizontal="center"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8" fillId="2" borderId="18" xfId="0" applyFont="1" applyFill="1" applyBorder="1" applyAlignment="1">
      <alignment horizontal="center"/>
    </xf>
    <xf numFmtId="9" fontId="6" fillId="0" borderId="24" xfId="0" applyNumberFormat="1" applyFont="1" applyBorder="1" applyAlignment="1">
      <alignment horizontal="center"/>
    </xf>
    <xf numFmtId="9" fontId="6" fillId="0" borderId="24" xfId="0" applyNumberFormat="1" applyFont="1" applyFill="1" applyBorder="1" applyAlignment="1">
      <alignment horizontal="center"/>
    </xf>
    <xf numFmtId="9" fontId="6" fillId="0" borderId="23" xfId="0" applyNumberFormat="1" applyFont="1" applyBorder="1" applyAlignment="1">
      <alignment horizontal="center"/>
    </xf>
    <xf numFmtId="0" fontId="29" fillId="0" borderId="0" xfId="0" applyFont="1" applyBorder="1" applyAlignment="1">
      <alignment horizontal="left"/>
    </xf>
    <xf numFmtId="2" fontId="29" fillId="0" borderId="0" xfId="0" applyNumberFormat="1" applyFont="1" applyBorder="1" applyAlignment="1">
      <alignment horizontal="center"/>
    </xf>
    <xf numFmtId="179" fontId="29" fillId="0" borderId="0" xfId="0" applyNumberFormat="1" applyFont="1" applyBorder="1"/>
    <xf numFmtId="0" fontId="29" fillId="0" borderId="0" xfId="0" applyNumberFormat="1" applyFont="1" applyFill="1" applyAlignment="1"/>
    <xf numFmtId="0" fontId="30" fillId="2" borderId="18" xfId="0" applyFont="1" applyFill="1" applyBorder="1" applyAlignment="1">
      <alignment horizontal="center"/>
    </xf>
    <xf numFmtId="0" fontId="13" fillId="0" borderId="0" xfId="0" applyFont="1"/>
    <xf numFmtId="0" fontId="13" fillId="0" borderId="0" xfId="0" applyFont="1" applyBorder="1"/>
    <xf numFmtId="0" fontId="4" fillId="0" borderId="0" xfId="5" applyBorder="1" applyAlignment="1" applyProtection="1"/>
    <xf numFmtId="181" fontId="15" fillId="0" borderId="0" xfId="0" applyNumberFormat="1" applyFont="1"/>
    <xf numFmtId="180" fontId="6" fillId="0" borderId="0" xfId="0" applyNumberFormat="1" applyFont="1"/>
    <xf numFmtId="190" fontId="6" fillId="0" borderId="0" xfId="0" applyNumberFormat="1" applyFont="1"/>
    <xf numFmtId="180" fontId="8" fillId="0" borderId="0" xfId="0" applyNumberFormat="1" applyFont="1"/>
    <xf numFmtId="190" fontId="8" fillId="0" borderId="0" xfId="0" applyNumberFormat="1" applyFont="1"/>
    <xf numFmtId="181" fontId="6" fillId="0" borderId="0" xfId="0" applyNumberFormat="1" applyFont="1"/>
    <xf numFmtId="0" fontId="5" fillId="0" borderId="13" xfId="0" applyFont="1" applyBorder="1"/>
    <xf numFmtId="0" fontId="5" fillId="0" borderId="6" xfId="0" applyFont="1" applyBorder="1"/>
    <xf numFmtId="0" fontId="3" fillId="0" borderId="3" xfId="0" applyFont="1" applyFill="1" applyBorder="1"/>
    <xf numFmtId="0" fontId="32" fillId="9" borderId="20" xfId="0" applyFont="1" applyFill="1" applyBorder="1"/>
    <xf numFmtId="0" fontId="32" fillId="9" borderId="21" xfId="0" applyFont="1" applyFill="1" applyBorder="1" applyAlignment="1">
      <alignment horizontal="center"/>
    </xf>
    <xf numFmtId="0" fontId="32" fillId="9" borderId="22" xfId="0" applyFont="1" applyFill="1" applyBorder="1"/>
    <xf numFmtId="0" fontId="33" fillId="0" borderId="14" xfId="0" applyFont="1" applyBorder="1"/>
    <xf numFmtId="1" fontId="33" fillId="0" borderId="18" xfId="0" applyNumberFormat="1" applyFont="1" applyBorder="1" applyAlignment="1">
      <alignment horizontal="center"/>
    </xf>
    <xf numFmtId="2" fontId="33" fillId="0" borderId="18" xfId="0" applyNumberFormat="1" applyFont="1" applyBorder="1"/>
    <xf numFmtId="0" fontId="33" fillId="0" borderId="15" xfId="0" applyFont="1" applyBorder="1"/>
    <xf numFmtId="0" fontId="33" fillId="0" borderId="18" xfId="0" applyFont="1" applyBorder="1"/>
    <xf numFmtId="0" fontId="33" fillId="0" borderId="18" xfId="0" applyFont="1" applyBorder="1" applyAlignment="1">
      <alignment horizontal="center"/>
    </xf>
    <xf numFmtId="0" fontId="33" fillId="0" borderId="16" xfId="0" applyFont="1" applyBorder="1"/>
    <xf numFmtId="0" fontId="33" fillId="0" borderId="19" xfId="0" applyFont="1" applyBorder="1" applyAlignment="1">
      <alignment horizontal="center"/>
    </xf>
    <xf numFmtId="0" fontId="33" fillId="0" borderId="19" xfId="0" applyFont="1" applyBorder="1"/>
    <xf numFmtId="0" fontId="33" fillId="0" borderId="17" xfId="0" applyFont="1" applyBorder="1"/>
    <xf numFmtId="0" fontId="5" fillId="0" borderId="3" xfId="0" applyFont="1" applyBorder="1"/>
    <xf numFmtId="0" fontId="9" fillId="0" borderId="0" xfId="0" applyFont="1"/>
    <xf numFmtId="189" fontId="9" fillId="0" borderId="0" xfId="0" applyNumberFormat="1" applyFont="1"/>
    <xf numFmtId="0" fontId="9" fillId="0" borderId="0" xfId="0" applyFont="1" applyFill="1"/>
    <xf numFmtId="1" fontId="9" fillId="5" borderId="0" xfId="0" applyNumberFormat="1" applyFont="1" applyFill="1" applyBorder="1"/>
    <xf numFmtId="1" fontId="9" fillId="0" borderId="0" xfId="0" applyNumberFormat="1" applyFont="1" applyBorder="1"/>
    <xf numFmtId="0" fontId="9" fillId="0" borderId="0" xfId="0" applyFont="1" applyBorder="1"/>
    <xf numFmtId="186" fontId="9" fillId="5" borderId="0" xfId="0" applyNumberFormat="1" applyFont="1" applyFill="1"/>
    <xf numFmtId="186" fontId="9" fillId="0" borderId="0" xfId="0" applyNumberFormat="1" applyFont="1"/>
    <xf numFmtId="0" fontId="35" fillId="5" borderId="0" xfId="0" applyFont="1" applyFill="1"/>
    <xf numFmtId="0" fontId="35" fillId="0" borderId="0" xfId="0" applyFont="1"/>
    <xf numFmtId="0" fontId="35" fillId="5" borderId="0" xfId="0" applyFont="1" applyFill="1" applyBorder="1"/>
    <xf numFmtId="0" fontId="35" fillId="0" borderId="0" xfId="0" applyFont="1" applyBorder="1"/>
    <xf numFmtId="0" fontId="9" fillId="0" borderId="7" xfId="0" applyFont="1" applyBorder="1"/>
    <xf numFmtId="0" fontId="9" fillId="0" borderId="12" xfId="0" applyFont="1" applyBorder="1"/>
    <xf numFmtId="178" fontId="5" fillId="0" borderId="0" xfId="0" applyNumberFormat="1" applyFont="1"/>
    <xf numFmtId="0" fontId="6" fillId="0" borderId="18" xfId="0" applyFont="1" applyBorder="1"/>
    <xf numFmtId="0" fontId="6" fillId="0" borderId="18" xfId="0" applyFont="1" applyBorder="1" applyAlignment="1">
      <alignment horizontal="center"/>
    </xf>
    <xf numFmtId="0" fontId="6" fillId="0" borderId="18" xfId="0" applyFont="1" applyBorder="1" applyAlignment="1">
      <alignment horizontal="left"/>
    </xf>
    <xf numFmtId="0" fontId="5" fillId="7" borderId="18" xfId="0" applyFont="1" applyFill="1" applyBorder="1"/>
    <xf numFmtId="0" fontId="5" fillId="7" borderId="18" xfId="0" applyFont="1" applyFill="1" applyBorder="1" applyAlignment="1">
      <alignment horizontal="center"/>
    </xf>
    <xf numFmtId="0" fontId="5" fillId="7" borderId="18" xfId="0" applyFont="1" applyFill="1" applyBorder="1" applyAlignment="1">
      <alignment horizontal="left"/>
    </xf>
    <xf numFmtId="15" fontId="9" fillId="5" borderId="0" xfId="0" applyNumberFormat="1" applyFont="1" applyFill="1" applyBorder="1"/>
    <xf numFmtId="189" fontId="9" fillId="0" borderId="6" xfId="0" applyNumberFormat="1" applyFont="1" applyBorder="1"/>
    <xf numFmtId="0" fontId="9" fillId="0" borderId="13" xfId="0" applyFont="1" applyBorder="1"/>
    <xf numFmtId="0" fontId="13" fillId="10" borderId="0" xfId="0" applyFont="1" applyFill="1" applyBorder="1"/>
    <xf numFmtId="0" fontId="25" fillId="10" borderId="0" xfId="0" applyFont="1" applyFill="1" applyBorder="1"/>
    <xf numFmtId="0" fontId="25" fillId="0" borderId="0" xfId="0" applyFont="1"/>
    <xf numFmtId="9" fontId="13" fillId="10" borderId="0" xfId="0" applyNumberFormat="1" applyFont="1" applyFill="1" applyBorder="1"/>
    <xf numFmtId="9" fontId="25" fillId="10" borderId="0" xfId="0" applyNumberFormat="1" applyFont="1" applyFill="1" applyBorder="1"/>
    <xf numFmtId="0" fontId="25" fillId="10" borderId="3" xfId="0" applyFont="1" applyFill="1" applyBorder="1"/>
    <xf numFmtId="0" fontId="25" fillId="0" borderId="0" xfId="0" applyFont="1" applyFill="1" applyBorder="1"/>
    <xf numFmtId="0" fontId="25" fillId="0" borderId="0" xfId="0" applyFont="1" applyBorder="1"/>
    <xf numFmtId="189" fontId="25" fillId="0" borderId="0" xfId="0" applyNumberFormat="1" applyFont="1" applyFill="1" applyBorder="1"/>
    <xf numFmtId="0" fontId="25" fillId="10" borderId="1" xfId="0" applyFont="1" applyFill="1" applyBorder="1"/>
    <xf numFmtId="0" fontId="25" fillId="3" borderId="7" xfId="0" applyFont="1" applyFill="1" applyBorder="1"/>
    <xf numFmtId="0" fontId="25" fillId="3" borderId="1" xfId="0" applyFont="1" applyFill="1" applyBorder="1"/>
    <xf numFmtId="0" fontId="25" fillId="3" borderId="12" xfId="0" applyFont="1" applyFill="1" applyBorder="1"/>
    <xf numFmtId="0" fontId="25" fillId="0" borderId="7" xfId="0" applyFont="1" applyBorder="1"/>
    <xf numFmtId="0" fontId="25" fillId="0" borderId="1" xfId="0" applyFont="1" applyBorder="1"/>
    <xf numFmtId="0" fontId="35" fillId="0" borderId="1" xfId="0" applyFont="1" applyBorder="1"/>
    <xf numFmtId="0" fontId="35" fillId="0" borderId="12" xfId="0" applyFont="1" applyBorder="1"/>
    <xf numFmtId="0" fontId="9" fillId="10" borderId="0" xfId="0" applyFont="1" applyFill="1" applyBorder="1"/>
    <xf numFmtId="0" fontId="9" fillId="0" borderId="5" xfId="0" applyFont="1" applyBorder="1"/>
    <xf numFmtId="0" fontId="35" fillId="0" borderId="0" xfId="0" applyFont="1" applyFill="1" applyBorder="1"/>
    <xf numFmtId="0" fontId="35" fillId="0" borderId="2" xfId="0" applyFont="1" applyBorder="1"/>
    <xf numFmtId="0" fontId="9" fillId="0" borderId="0" xfId="0" applyFont="1" applyFill="1" applyBorder="1"/>
    <xf numFmtId="0" fontId="9" fillId="0" borderId="2" xfId="0" applyFont="1" applyBorder="1"/>
    <xf numFmtId="0" fontId="9" fillId="10" borderId="18" xfId="0" applyFont="1" applyFill="1" applyBorder="1"/>
    <xf numFmtId="0" fontId="9" fillId="10" borderId="3" xfId="0" applyFont="1" applyFill="1" applyBorder="1"/>
    <xf numFmtId="0" fontId="9" fillId="0" borderId="1" xfId="0" applyFont="1" applyBorder="1"/>
    <xf numFmtId="0" fontId="6" fillId="0" borderId="18" xfId="0" applyFont="1" applyFill="1" applyBorder="1"/>
    <xf numFmtId="0" fontId="6" fillId="0" borderId="18" xfId="0" applyFont="1" applyFill="1" applyBorder="1" applyAlignment="1">
      <alignment horizontal="center"/>
    </xf>
    <xf numFmtId="0" fontId="6" fillId="0" borderId="18" xfId="0" applyFont="1" applyFill="1" applyBorder="1" applyAlignment="1">
      <alignment horizontal="left"/>
    </xf>
    <xf numFmtId="0" fontId="36" fillId="0" borderId="18" xfId="0" applyFont="1" applyBorder="1" applyAlignment="1">
      <alignment horizontal="center" wrapText="1"/>
    </xf>
    <xf numFmtId="0" fontId="36" fillId="0" borderId="18" xfId="0" applyFont="1" applyFill="1" applyBorder="1" applyAlignment="1">
      <alignment horizontal="center" wrapText="1"/>
    </xf>
    <xf numFmtId="0" fontId="6" fillId="0" borderId="6" xfId="0" applyFont="1" applyFill="1" applyBorder="1"/>
    <xf numFmtId="0" fontId="8" fillId="0" borderId="3" xfId="0" applyFont="1" applyFill="1" applyBorder="1"/>
    <xf numFmtId="0" fontId="8" fillId="0" borderId="7" xfId="0" applyFont="1" applyFill="1" applyBorder="1"/>
    <xf numFmtId="0" fontId="8" fillId="0" borderId="12" xfId="0" applyFont="1" applyFill="1" applyBorder="1"/>
    <xf numFmtId="0" fontId="8" fillId="0" borderId="5" xfId="0" applyFont="1" applyFill="1" applyBorder="1"/>
    <xf numFmtId="0" fontId="8" fillId="0" borderId="2" xfId="0" applyFont="1" applyFill="1" applyBorder="1"/>
    <xf numFmtId="0" fontId="8" fillId="0" borderId="6" xfId="0" applyFont="1" applyFill="1" applyBorder="1"/>
    <xf numFmtId="0" fontId="8" fillId="0" borderId="13" xfId="0" applyFont="1" applyFill="1" applyBorder="1"/>
    <xf numFmtId="0" fontId="5" fillId="0" borderId="0" xfId="0" applyFont="1" applyFill="1" applyAlignment="1">
      <alignment wrapText="1"/>
    </xf>
    <xf numFmtId="0" fontId="8" fillId="5" borderId="0" xfId="0" applyFont="1" applyFill="1" applyAlignment="1">
      <alignment horizontal="right" wrapText="1"/>
    </xf>
    <xf numFmtId="0" fontId="8" fillId="7" borderId="18" xfId="0" applyFont="1" applyFill="1" applyBorder="1"/>
    <xf numFmtId="0" fontId="8" fillId="7" borderId="18" xfId="0" applyFont="1" applyFill="1" applyBorder="1" applyAlignment="1">
      <alignment horizontal="right" wrapText="1"/>
    </xf>
    <xf numFmtId="0" fontId="14" fillId="5" borderId="18" xfId="0" applyFont="1" applyFill="1" applyBorder="1"/>
    <xf numFmtId="15" fontId="14" fillId="5" borderId="18" xfId="0" applyNumberFormat="1" applyFont="1" applyFill="1" applyBorder="1" applyAlignment="1" applyProtection="1">
      <alignment horizontal="right" vertical="top"/>
      <protection locked="0"/>
    </xf>
    <xf numFmtId="189" fontId="14" fillId="5" borderId="18" xfId="0" applyNumberFormat="1" applyFont="1" applyFill="1" applyBorder="1"/>
    <xf numFmtId="0" fontId="14" fillId="5" borderId="18" xfId="0" applyNumberFormat="1" applyFont="1" applyFill="1" applyBorder="1" applyAlignment="1">
      <alignment horizontal="left"/>
    </xf>
    <xf numFmtId="0" fontId="14" fillId="5" borderId="18" xfId="0" applyFont="1" applyFill="1" applyBorder="1" applyAlignment="1">
      <alignment wrapText="1"/>
    </xf>
    <xf numFmtId="0" fontId="14" fillId="5" borderId="18" xfId="0" applyNumberFormat="1" applyFont="1" applyFill="1" applyBorder="1" applyAlignment="1"/>
    <xf numFmtId="0" fontId="14" fillId="0" borderId="18" xfId="0" applyNumberFormat="1" applyFont="1" applyFill="1" applyBorder="1" applyAlignment="1">
      <alignment horizontal="left"/>
    </xf>
    <xf numFmtId="0" fontId="28" fillId="5" borderId="18" xfId="0" applyFont="1" applyFill="1" applyBorder="1"/>
    <xf numFmtId="0" fontId="31" fillId="5" borderId="18" xfId="0" applyFont="1" applyFill="1" applyBorder="1"/>
    <xf numFmtId="15" fontId="31" fillId="5" borderId="18" xfId="0" applyNumberFormat="1" applyFont="1" applyFill="1" applyBorder="1" applyAlignment="1" applyProtection="1">
      <alignment horizontal="right" vertical="top"/>
      <protection locked="0"/>
    </xf>
    <xf numFmtId="189" fontId="31" fillId="5" borderId="18" xfId="0" applyNumberFormat="1" applyFont="1" applyFill="1" applyBorder="1"/>
    <xf numFmtId="0" fontId="31" fillId="5" borderId="18" xfId="0" applyNumberFormat="1" applyFont="1" applyFill="1" applyBorder="1" applyAlignment="1">
      <alignment horizontal="left"/>
    </xf>
    <xf numFmtId="0" fontId="31" fillId="5" borderId="18" xfId="0" applyFont="1" applyFill="1" applyBorder="1" applyAlignment="1">
      <alignment wrapText="1"/>
    </xf>
    <xf numFmtId="0" fontId="31" fillId="5" borderId="18" xfId="0" applyNumberFormat="1" applyFont="1" applyFill="1" applyBorder="1" applyAlignment="1"/>
    <xf numFmtId="0" fontId="37" fillId="0" borderId="0" xfId="0" applyFont="1" applyAlignment="1">
      <alignment vertical="center"/>
    </xf>
    <xf numFmtId="0" fontId="37" fillId="0" borderId="0" xfId="0" applyFont="1" applyAlignment="1">
      <alignment vertical="center" wrapText="1"/>
    </xf>
    <xf numFmtId="0" fontId="39" fillId="0" borderId="0" xfId="0" applyFont="1" applyAlignment="1">
      <alignment vertical="center"/>
    </xf>
    <xf numFmtId="0" fontId="43" fillId="0" borderId="0" xfId="0" applyFont="1" applyAlignment="1">
      <alignment vertical="center"/>
    </xf>
    <xf numFmtId="0" fontId="41" fillId="0" borderId="30" xfId="0" applyFont="1" applyBorder="1" applyAlignment="1">
      <alignment horizontal="left" vertical="center" wrapText="1" readingOrder="1"/>
    </xf>
    <xf numFmtId="0" fontId="41" fillId="0" borderId="31" xfId="0" applyFont="1" applyBorder="1" applyAlignment="1">
      <alignment horizontal="center" vertical="center" wrapText="1"/>
    </xf>
    <xf numFmtId="0" fontId="41" fillId="0" borderId="30" xfId="0" applyFont="1" applyBorder="1" applyAlignment="1">
      <alignment horizontal="center" vertical="center" wrapText="1" readingOrder="1"/>
    </xf>
    <xf numFmtId="0" fontId="41" fillId="0" borderId="32" xfId="0" applyFont="1" applyBorder="1" applyAlignment="1">
      <alignment horizontal="left" vertical="center" wrapText="1" readingOrder="1"/>
    </xf>
    <xf numFmtId="0" fontId="41" fillId="0" borderId="34" xfId="0" applyFont="1" applyBorder="1" applyAlignment="1">
      <alignment horizontal="left" vertical="center" wrapText="1" readingOrder="1"/>
    </xf>
    <xf numFmtId="0" fontId="41" fillId="0" borderId="33" xfId="0" applyFont="1" applyBorder="1" applyAlignment="1">
      <alignment horizontal="left" vertical="center" wrapText="1" readingOrder="1"/>
    </xf>
    <xf numFmtId="0" fontId="41" fillId="0" borderId="35" xfId="0" applyFont="1" applyBorder="1" applyAlignment="1">
      <alignment horizontal="left" vertical="center" wrapText="1" readingOrder="1"/>
    </xf>
    <xf numFmtId="0" fontId="45" fillId="0" borderId="0" xfId="0" applyFont="1"/>
    <xf numFmtId="0" fontId="47" fillId="0" borderId="0" xfId="0" applyFont="1" applyFill="1"/>
    <xf numFmtId="0" fontId="48" fillId="2" borderId="7" xfId="0" applyFont="1" applyFill="1" applyBorder="1"/>
    <xf numFmtId="0" fontId="48" fillId="2" borderId="1" xfId="0" applyFont="1" applyFill="1" applyBorder="1" applyAlignment="1">
      <alignment horizontal="center"/>
    </xf>
    <xf numFmtId="186" fontId="48" fillId="2" borderId="1" xfId="0" applyNumberFormat="1" applyFont="1" applyFill="1" applyBorder="1" applyAlignment="1">
      <alignment horizontal="center"/>
    </xf>
    <xf numFmtId="0" fontId="47" fillId="0" borderId="0" xfId="0" applyFont="1"/>
    <xf numFmtId="0" fontId="48" fillId="2" borderId="6" xfId="0" applyFont="1" applyFill="1" applyBorder="1"/>
    <xf numFmtId="0" fontId="48" fillId="2" borderId="3" xfId="0" applyFont="1" applyFill="1" applyBorder="1" applyAlignment="1">
      <alignment horizontal="center"/>
    </xf>
    <xf numFmtId="186" fontId="48" fillId="2" borderId="3" xfId="0" applyNumberFormat="1" applyFont="1" applyFill="1" applyBorder="1" applyAlignment="1">
      <alignment horizontal="center"/>
    </xf>
    <xf numFmtId="0" fontId="47" fillId="3" borderId="23" xfId="0" applyFont="1" applyFill="1" applyBorder="1"/>
    <xf numFmtId="0" fontId="49" fillId="3" borderId="23" xfId="0" applyFont="1" applyFill="1" applyBorder="1"/>
    <xf numFmtId="0" fontId="47" fillId="3" borderId="23" xfId="0" applyFont="1" applyFill="1" applyBorder="1" applyAlignment="1">
      <alignment horizontal="center"/>
    </xf>
    <xf numFmtId="2" fontId="47" fillId="3" borderId="23" xfId="6" applyNumberFormat="1" applyFont="1" applyFill="1" applyBorder="1"/>
    <xf numFmtId="0" fontId="47" fillId="3" borderId="23" xfId="4" applyNumberFormat="1" applyFont="1" applyFill="1" applyBorder="1" applyAlignment="1">
      <alignment horizontal="center"/>
    </xf>
    <xf numFmtId="0" fontId="47" fillId="3" borderId="18" xfId="0" applyFont="1" applyFill="1" applyBorder="1"/>
    <xf numFmtId="0" fontId="48" fillId="2" borderId="10" xfId="0" applyFont="1" applyFill="1" applyBorder="1"/>
    <xf numFmtId="0" fontId="48" fillId="2" borderId="11" xfId="0" applyFont="1" applyFill="1" applyBorder="1"/>
    <xf numFmtId="0" fontId="48" fillId="2" borderId="11" xfId="0" applyFont="1" applyFill="1" applyBorder="1" applyAlignment="1">
      <alignment horizontal="center"/>
    </xf>
    <xf numFmtId="191" fontId="48" fillId="2" borderId="11" xfId="0" applyNumberFormat="1" applyFont="1" applyFill="1" applyBorder="1" applyAlignment="1">
      <alignment horizontal="right"/>
    </xf>
    <xf numFmtId="0" fontId="48" fillId="0" borderId="0" xfId="0" applyFont="1" applyFill="1" applyBorder="1"/>
    <xf numFmtId="0" fontId="48" fillId="0" borderId="0" xfId="0" applyFont="1" applyFill="1" applyBorder="1" applyAlignment="1">
      <alignment horizontal="center"/>
    </xf>
    <xf numFmtId="0" fontId="47" fillId="3" borderId="23" xfId="0" applyFont="1" applyFill="1" applyBorder="1" applyAlignment="1">
      <alignment wrapText="1"/>
    </xf>
    <xf numFmtId="0" fontId="47" fillId="3" borderId="18" xfId="0" applyFont="1" applyFill="1" applyBorder="1" applyAlignment="1">
      <alignment wrapText="1"/>
    </xf>
    <xf numFmtId="180" fontId="50" fillId="3" borderId="14" xfId="6" applyFont="1" applyFill="1" applyBorder="1" applyAlignment="1" applyProtection="1">
      <alignment horizontal="right"/>
    </xf>
    <xf numFmtId="0" fontId="47" fillId="3" borderId="18" xfId="0" applyFont="1" applyFill="1" applyBorder="1" applyAlignment="1" applyProtection="1">
      <alignment horizontal="left" wrapText="1"/>
      <protection locked="0"/>
    </xf>
    <xf numFmtId="0" fontId="48" fillId="2" borderId="10" xfId="0" applyFont="1" applyFill="1" applyBorder="1" applyAlignment="1"/>
    <xf numFmtId="0" fontId="48" fillId="2" borderId="11" xfId="0" applyFont="1" applyFill="1" applyBorder="1" applyAlignment="1"/>
    <xf numFmtId="0" fontId="51" fillId="2" borderId="11" xfId="0" applyFont="1" applyFill="1" applyBorder="1" applyAlignment="1">
      <alignment horizontal="center"/>
    </xf>
    <xf numFmtId="0" fontId="48" fillId="2" borderId="11" xfId="0" applyFont="1" applyFill="1" applyBorder="1" applyAlignment="1">
      <alignment wrapText="1"/>
    </xf>
    <xf numFmtId="0" fontId="48" fillId="2" borderId="11" xfId="0" applyFont="1" applyFill="1" applyBorder="1" applyAlignment="1">
      <alignment horizontal="left"/>
    </xf>
    <xf numFmtId="0" fontId="48" fillId="2" borderId="4" xfId="0" applyFont="1" applyFill="1" applyBorder="1"/>
    <xf numFmtId="0" fontId="48" fillId="0" borderId="0" xfId="0" applyFont="1" applyFill="1" applyBorder="1" applyAlignment="1"/>
    <xf numFmtId="0" fontId="48" fillId="0" borderId="0" xfId="0" applyFont="1" applyBorder="1" applyAlignment="1"/>
    <xf numFmtId="49" fontId="48" fillId="0" borderId="0" xfId="0" applyNumberFormat="1" applyFont="1" applyBorder="1" applyAlignment="1"/>
    <xf numFmtId="0" fontId="52" fillId="5" borderId="7" xfId="0" applyFont="1" applyFill="1" applyBorder="1"/>
    <xf numFmtId="0" fontId="48" fillId="5" borderId="1" xfId="0" applyFont="1" applyFill="1" applyBorder="1"/>
    <xf numFmtId="176" fontId="47" fillId="5" borderId="1" xfId="0" applyNumberFormat="1" applyFont="1" applyFill="1" applyBorder="1" applyAlignment="1" applyProtection="1">
      <alignment horizontal="center"/>
    </xf>
    <xf numFmtId="183" fontId="47" fillId="5" borderId="1" xfId="0" applyNumberFormat="1" applyFont="1" applyFill="1" applyBorder="1" applyAlignment="1" applyProtection="1">
      <alignment horizontal="center"/>
    </xf>
    <xf numFmtId="176" fontId="47" fillId="5" borderId="1" xfId="0" applyNumberFormat="1" applyFont="1" applyFill="1" applyBorder="1" applyAlignment="1">
      <alignment horizontal="center"/>
    </xf>
    <xf numFmtId="180" fontId="50" fillId="5" borderId="1" xfId="6" applyFont="1" applyFill="1" applyBorder="1" applyAlignment="1" applyProtection="1">
      <alignment horizontal="center"/>
    </xf>
    <xf numFmtId="183" fontId="47" fillId="5" borderId="1" xfId="0" applyNumberFormat="1" applyFont="1" applyFill="1" applyBorder="1" applyAlignment="1" applyProtection="1">
      <alignment horizontal="left"/>
      <protection locked="0"/>
    </xf>
    <xf numFmtId="0" fontId="47" fillId="5" borderId="1" xfId="0" applyFont="1" applyFill="1" applyBorder="1" applyAlignment="1">
      <alignment horizontal="left"/>
    </xf>
    <xf numFmtId="183" fontId="47" fillId="5" borderId="1" xfId="0" applyNumberFormat="1" applyFont="1" applyFill="1" applyBorder="1" applyProtection="1"/>
    <xf numFmtId="0" fontId="47" fillId="5" borderId="0" xfId="0" applyFont="1" applyFill="1" applyBorder="1" applyProtection="1"/>
    <xf numFmtId="0" fontId="47" fillId="0" borderId="0" xfId="0" applyFont="1" applyFill="1" applyBorder="1"/>
    <xf numFmtId="0" fontId="47" fillId="0" borderId="0" xfId="0" applyFont="1" applyBorder="1" applyProtection="1"/>
    <xf numFmtId="0" fontId="46" fillId="0" borderId="0" xfId="0" applyFont="1"/>
    <xf numFmtId="49" fontId="47" fillId="0" borderId="0" xfId="0" applyNumberFormat="1" applyFont="1" applyBorder="1" applyProtection="1"/>
    <xf numFmtId="0" fontId="53" fillId="5" borderId="5" xfId="0" applyFont="1" applyFill="1" applyBorder="1" applyAlignment="1" applyProtection="1">
      <alignment horizontal="left" indent="1"/>
    </xf>
    <xf numFmtId="0" fontId="53" fillId="5" borderId="0" xfId="0" applyFont="1" applyFill="1" applyBorder="1" applyAlignment="1" applyProtection="1">
      <alignment horizontal="left" indent="1"/>
    </xf>
    <xf numFmtId="176" fontId="47" fillId="3" borderId="18" xfId="0" applyNumberFormat="1" applyFont="1" applyFill="1" applyBorder="1" applyAlignment="1" applyProtection="1">
      <alignment horizontal="center"/>
    </xf>
    <xf numFmtId="183" fontId="47" fillId="3" borderId="18" xfId="0" applyNumberFormat="1" applyFont="1" applyFill="1" applyBorder="1" applyAlignment="1" applyProtection="1">
      <alignment horizontal="center"/>
    </xf>
    <xf numFmtId="2" fontId="49" fillId="5" borderId="0" xfId="0" applyNumberFormat="1" applyFont="1" applyFill="1" applyBorder="1" applyAlignment="1" applyProtection="1">
      <alignment horizontal="center"/>
    </xf>
    <xf numFmtId="2" fontId="50" fillId="5" borderId="0" xfId="6" applyNumberFormat="1" applyFont="1" applyFill="1" applyBorder="1" applyAlignment="1" applyProtection="1">
      <alignment horizontal="center"/>
    </xf>
    <xf numFmtId="183" fontId="47" fillId="5" borderId="0" xfId="0" applyNumberFormat="1" applyFont="1" applyFill="1" applyBorder="1" applyAlignment="1" applyProtection="1">
      <alignment horizontal="left"/>
      <protection locked="0"/>
    </xf>
    <xf numFmtId="0" fontId="47" fillId="5" borderId="0" xfId="0" applyFont="1" applyFill="1" applyBorder="1" applyAlignment="1">
      <alignment horizontal="left"/>
    </xf>
    <xf numFmtId="183" fontId="47" fillId="5" borderId="0" xfId="0" applyNumberFormat="1" applyFont="1" applyFill="1" applyBorder="1" applyProtection="1"/>
    <xf numFmtId="0" fontId="54" fillId="0" borderId="0" xfId="0" applyFont="1" applyFill="1" applyBorder="1"/>
    <xf numFmtId="2" fontId="47" fillId="0" borderId="0" xfId="0" applyNumberFormat="1" applyFont="1" applyBorder="1" applyProtection="1"/>
    <xf numFmtId="183" fontId="47" fillId="0" borderId="0" xfId="0" applyNumberFormat="1" applyFont="1" applyBorder="1" applyProtection="1"/>
    <xf numFmtId="0" fontId="53" fillId="5" borderId="5" xfId="0" applyFont="1" applyFill="1" applyBorder="1" applyAlignment="1">
      <alignment horizontal="left" indent="1"/>
    </xf>
    <xf numFmtId="0" fontId="53" fillId="5" borderId="0" xfId="0" applyFont="1" applyFill="1" applyBorder="1" applyAlignment="1">
      <alignment horizontal="left" indent="1"/>
    </xf>
    <xf numFmtId="183" fontId="47" fillId="3" borderId="18" xfId="0" applyNumberFormat="1" applyFont="1" applyFill="1" applyBorder="1" applyAlignment="1">
      <alignment horizontal="center"/>
    </xf>
    <xf numFmtId="0" fontId="47" fillId="5" borderId="0" xfId="0" applyFont="1" applyFill="1" applyBorder="1"/>
    <xf numFmtId="0" fontId="47" fillId="0" borderId="0" xfId="0" applyFont="1" applyBorder="1"/>
    <xf numFmtId="0" fontId="48" fillId="2" borderId="5" xfId="0" applyFont="1" applyFill="1" applyBorder="1"/>
    <xf numFmtId="0" fontId="47" fillId="2" borderId="0" xfId="0" applyFont="1" applyFill="1" applyBorder="1" applyProtection="1"/>
    <xf numFmtId="176" fontId="47" fillId="2" borderId="0" xfId="0" applyNumberFormat="1" applyFont="1" applyFill="1" applyBorder="1" applyAlignment="1" applyProtection="1">
      <alignment horizontal="center"/>
    </xf>
    <xf numFmtId="183" fontId="48" fillId="2" borderId="0" xfId="0" applyNumberFormat="1" applyFont="1" applyFill="1" applyBorder="1"/>
    <xf numFmtId="176" fontId="47" fillId="2" borderId="0" xfId="0" applyNumberFormat="1" applyFont="1" applyFill="1" applyBorder="1" applyAlignment="1">
      <alignment horizontal="center"/>
    </xf>
    <xf numFmtId="2" fontId="50" fillId="2" borderId="0" xfId="6" applyNumberFormat="1" applyFont="1" applyFill="1" applyBorder="1" applyAlignment="1" applyProtection="1">
      <alignment horizontal="center"/>
    </xf>
    <xf numFmtId="183" fontId="47" fillId="2" borderId="0" xfId="0" applyNumberFormat="1" applyFont="1" applyFill="1" applyBorder="1" applyAlignment="1" applyProtection="1">
      <alignment horizontal="left"/>
      <protection locked="0"/>
    </xf>
    <xf numFmtId="0" fontId="47" fillId="2" borderId="0" xfId="0" applyFont="1" applyFill="1" applyBorder="1" applyAlignment="1">
      <alignment horizontal="left"/>
    </xf>
    <xf numFmtId="183" fontId="47" fillId="2" borderId="0" xfId="0" applyNumberFormat="1" applyFont="1" applyFill="1" applyBorder="1" applyProtection="1"/>
    <xf numFmtId="0" fontId="48" fillId="5" borderId="5" xfId="0" applyFont="1" applyFill="1" applyBorder="1"/>
    <xf numFmtId="0" fontId="48" fillId="5" borderId="0" xfId="0" applyFont="1" applyFill="1" applyBorder="1"/>
    <xf numFmtId="176" fontId="47" fillId="5" borderId="0" xfId="0" applyNumberFormat="1" applyFont="1" applyFill="1" applyBorder="1" applyAlignment="1" applyProtection="1">
      <alignment horizontal="center"/>
    </xf>
    <xf numFmtId="183" fontId="47" fillId="5" borderId="0" xfId="0" applyNumberFormat="1" applyFont="1" applyFill="1" applyBorder="1" applyAlignment="1" applyProtection="1">
      <alignment horizontal="center"/>
    </xf>
    <xf numFmtId="0" fontId="47" fillId="5" borderId="0" xfId="0" applyFont="1" applyFill="1" applyBorder="1" applyAlignment="1" applyProtection="1">
      <alignment horizontal="left"/>
      <protection locked="0"/>
    </xf>
    <xf numFmtId="0" fontId="55" fillId="5" borderId="0" xfId="0" applyFont="1" applyFill="1" applyBorder="1" applyAlignment="1">
      <alignment horizontal="left"/>
    </xf>
    <xf numFmtId="0" fontId="47" fillId="5" borderId="2" xfId="0" applyFont="1" applyFill="1" applyBorder="1"/>
    <xf numFmtId="0" fontId="47" fillId="5" borderId="2" xfId="0" applyFont="1" applyFill="1" applyBorder="1" applyProtection="1"/>
    <xf numFmtId="180" fontId="50" fillId="2" borderId="0" xfId="6" applyFont="1" applyFill="1" applyBorder="1" applyAlignment="1" applyProtection="1">
      <alignment horizontal="center"/>
    </xf>
    <xf numFmtId="180" fontId="50" fillId="5" borderId="0" xfId="6" applyFont="1" applyFill="1" applyBorder="1" applyAlignment="1" applyProtection="1">
      <alignment horizontal="center"/>
    </xf>
    <xf numFmtId="184" fontId="48" fillId="2" borderId="11" xfId="0" applyNumberFormat="1" applyFont="1" applyFill="1" applyBorder="1" applyAlignment="1" applyProtection="1">
      <alignment horizontal="right"/>
      <protection locked="0"/>
    </xf>
    <xf numFmtId="1" fontId="48" fillId="2" borderId="11" xfId="0" applyNumberFormat="1" applyFont="1" applyFill="1" applyBorder="1" applyAlignment="1" applyProtection="1">
      <alignment horizontal="center"/>
      <protection locked="0"/>
    </xf>
    <xf numFmtId="2" fontId="48" fillId="2" borderId="11" xfId="0" applyNumberFormat="1" applyFont="1" applyFill="1" applyBorder="1" applyAlignment="1" applyProtection="1">
      <alignment horizontal="right"/>
      <protection locked="0"/>
    </xf>
    <xf numFmtId="186" fontId="48" fillId="2" borderId="11" xfId="0" applyNumberFormat="1" applyFont="1" applyFill="1" applyBorder="1" applyAlignment="1">
      <alignment horizontal="center"/>
    </xf>
    <xf numFmtId="0" fontId="47" fillId="2" borderId="0" xfId="0" applyFont="1" applyFill="1" applyBorder="1"/>
    <xf numFmtId="49" fontId="47" fillId="0" borderId="0" xfId="0" applyNumberFormat="1" applyFont="1" applyBorder="1"/>
    <xf numFmtId="0" fontId="46" fillId="0" borderId="0" xfId="0" applyFont="1" applyBorder="1"/>
    <xf numFmtId="0" fontId="46" fillId="5" borderId="0" xfId="0" applyFont="1" applyFill="1" applyBorder="1"/>
    <xf numFmtId="15" fontId="56" fillId="5" borderId="0" xfId="0" applyNumberFormat="1" applyFont="1" applyFill="1" applyBorder="1" applyAlignment="1">
      <alignment horizontal="left" vertical="center"/>
    </xf>
    <xf numFmtId="15" fontId="46" fillId="5" borderId="0" xfId="0" applyNumberFormat="1" applyFont="1" applyFill="1" applyBorder="1" applyAlignment="1">
      <alignment horizontal="left" vertical="center"/>
    </xf>
    <xf numFmtId="15" fontId="57" fillId="5" borderId="0" xfId="5" applyNumberFormat="1" applyFont="1" applyFill="1" applyBorder="1" applyAlignment="1" applyProtection="1">
      <alignment horizontal="left" vertical="center"/>
    </xf>
    <xf numFmtId="0" fontId="54" fillId="5" borderId="0" xfId="0" applyFont="1" applyFill="1" applyBorder="1" applyAlignment="1" applyProtection="1">
      <alignment horizontal="left" indent="1"/>
    </xf>
    <xf numFmtId="0" fontId="46" fillId="0" borderId="0" xfId="0" applyFont="1" applyFill="1" applyBorder="1"/>
    <xf numFmtId="0" fontId="47" fillId="5" borderId="5" xfId="0" applyFont="1" applyFill="1" applyBorder="1"/>
    <xf numFmtId="0" fontId="47" fillId="5" borderId="0" xfId="0" applyFont="1" applyFill="1" applyBorder="1" applyAlignment="1">
      <alignment horizontal="right"/>
    </xf>
    <xf numFmtId="1" fontId="47" fillId="3" borderId="9" xfId="0" applyNumberFormat="1" applyFont="1" applyFill="1" applyBorder="1" applyAlignment="1" applyProtection="1">
      <alignment horizontal="center"/>
      <protection locked="0"/>
    </xf>
    <xf numFmtId="0" fontId="54" fillId="5" borderId="0" xfId="0" applyFont="1" applyFill="1" applyBorder="1" applyAlignment="1">
      <alignment horizontal="left"/>
    </xf>
    <xf numFmtId="0" fontId="54" fillId="5" borderId="0" xfId="0" applyFont="1" applyFill="1" applyBorder="1" applyAlignment="1">
      <alignment horizontal="center"/>
    </xf>
    <xf numFmtId="1" fontId="47" fillId="3" borderId="8" xfId="0" applyNumberFormat="1" applyFont="1" applyFill="1" applyBorder="1" applyAlignment="1" applyProtection="1">
      <alignment horizontal="center"/>
      <protection locked="0"/>
    </xf>
    <xf numFmtId="0" fontId="54" fillId="5" borderId="0" xfId="0" applyFont="1" applyFill="1" applyBorder="1"/>
    <xf numFmtId="177" fontId="47" fillId="5" borderId="0" xfId="6" applyNumberFormat="1" applyFont="1" applyFill="1" applyBorder="1" applyAlignment="1">
      <alignment horizontal="center"/>
    </xf>
    <xf numFmtId="0" fontId="47" fillId="6" borderId="10" xfId="0" applyFont="1" applyFill="1" applyBorder="1"/>
    <xf numFmtId="0" fontId="47" fillId="6" borderId="11" xfId="0" applyFont="1" applyFill="1" applyBorder="1"/>
    <xf numFmtId="0" fontId="47" fillId="6" borderId="11" xfId="0" applyFont="1" applyFill="1" applyBorder="1" applyAlignment="1" applyProtection="1">
      <alignment horizontal="right" indent="1"/>
    </xf>
    <xf numFmtId="1" fontId="47" fillId="6" borderId="11" xfId="0" applyNumberFormat="1" applyFont="1" applyFill="1" applyBorder="1" applyAlignment="1" applyProtection="1">
      <alignment horizontal="center"/>
      <protection locked="0"/>
    </xf>
    <xf numFmtId="0" fontId="48" fillId="6" borderId="11" xfId="0" applyFont="1" applyFill="1" applyBorder="1" applyAlignment="1" applyProtection="1">
      <alignment horizontal="center"/>
    </xf>
    <xf numFmtId="0" fontId="48" fillId="2" borderId="5" xfId="0" applyFont="1" applyFill="1" applyBorder="1" applyAlignment="1">
      <alignment horizontal="left" indent="1"/>
    </xf>
    <xf numFmtId="0" fontId="48" fillId="2" borderId="0" xfId="0" applyFont="1" applyFill="1" applyBorder="1" applyAlignment="1">
      <alignment horizontal="center"/>
    </xf>
    <xf numFmtId="186" fontId="47" fillId="2" borderId="0" xfId="0" applyNumberFormat="1" applyFont="1" applyFill="1" applyBorder="1" applyAlignment="1">
      <alignment horizontal="center"/>
    </xf>
    <xf numFmtId="186" fontId="48" fillId="2" borderId="0" xfId="0" applyNumberFormat="1" applyFont="1" applyFill="1" applyBorder="1" applyAlignment="1">
      <alignment horizontal="center"/>
    </xf>
    <xf numFmtId="187" fontId="50" fillId="2" borderId="0" xfId="0" applyNumberFormat="1" applyFont="1" applyFill="1" applyBorder="1"/>
    <xf numFmtId="0" fontId="47" fillId="5" borderId="5" xfId="0" applyFont="1" applyFill="1" applyBorder="1" applyAlignment="1">
      <alignment horizontal="left" indent="1"/>
    </xf>
    <xf numFmtId="0" fontId="47" fillId="5" borderId="0" xfId="0" applyFont="1" applyFill="1"/>
    <xf numFmtId="2" fontId="47" fillId="3" borderId="9" xfId="0" applyNumberFormat="1" applyFont="1" applyFill="1" applyBorder="1" applyProtection="1">
      <protection locked="0"/>
    </xf>
    <xf numFmtId="182" fontId="47" fillId="3" borderId="9" xfId="0" applyNumberFormat="1" applyFont="1" applyFill="1" applyBorder="1" applyAlignment="1" applyProtection="1">
      <alignment horizontal="center"/>
      <protection locked="0"/>
    </xf>
    <xf numFmtId="187" fontId="50" fillId="5" borderId="0" xfId="0" applyNumberFormat="1" applyFont="1" applyFill="1" applyBorder="1"/>
    <xf numFmtId="2" fontId="47" fillId="3" borderId="8" xfId="0" applyNumberFormat="1" applyFont="1" applyFill="1" applyBorder="1" applyProtection="1">
      <protection locked="0"/>
    </xf>
    <xf numFmtId="182" fontId="47" fillId="3" borderId="8" xfId="0" applyNumberFormat="1" applyFont="1" applyFill="1" applyBorder="1" applyAlignment="1" applyProtection="1">
      <alignment horizontal="center"/>
      <protection locked="0"/>
    </xf>
    <xf numFmtId="1" fontId="48" fillId="6" borderId="7" xfId="0" applyNumberFormat="1" applyFont="1" applyFill="1" applyBorder="1" applyAlignment="1" applyProtection="1">
      <alignment horizontal="left"/>
      <protection locked="0"/>
    </xf>
    <xf numFmtId="1" fontId="48" fillId="6" borderId="1" xfId="0" applyNumberFormat="1" applyFont="1" applyFill="1" applyBorder="1" applyAlignment="1" applyProtection="1">
      <alignment horizontal="center"/>
      <protection locked="0"/>
    </xf>
    <xf numFmtId="185" fontId="48" fillId="6" borderId="1" xfId="0" applyNumberFormat="1" applyFont="1" applyFill="1" applyBorder="1" applyAlignment="1" applyProtection="1">
      <alignment horizontal="center"/>
      <protection locked="0"/>
    </xf>
    <xf numFmtId="1" fontId="48" fillId="0" borderId="0" xfId="0" applyNumberFormat="1" applyFont="1" applyFill="1" applyBorder="1" applyAlignment="1" applyProtection="1">
      <alignment horizontal="center"/>
      <protection locked="0"/>
    </xf>
    <xf numFmtId="0" fontId="47" fillId="2" borderId="11" xfId="0" applyFont="1" applyFill="1" applyBorder="1"/>
    <xf numFmtId="0" fontId="48" fillId="2" borderId="10" xfId="0" applyFont="1" applyFill="1" applyBorder="1" applyProtection="1"/>
    <xf numFmtId="0" fontId="48" fillId="2" borderId="11" xfId="0" applyFont="1" applyFill="1" applyBorder="1" applyAlignment="1" applyProtection="1">
      <alignment horizontal="center"/>
    </xf>
    <xf numFmtId="186" fontId="48" fillId="2" borderId="11" xfId="0" applyNumberFormat="1" applyFont="1" applyFill="1" applyBorder="1" applyAlignment="1" applyProtection="1">
      <alignment horizontal="center"/>
    </xf>
    <xf numFmtId="176" fontId="47" fillId="5" borderId="0" xfId="0" applyNumberFormat="1" applyFont="1" applyFill="1" applyBorder="1" applyAlignment="1">
      <alignment horizontal="center"/>
    </xf>
    <xf numFmtId="188" fontId="47" fillId="5" borderId="9" xfId="6" applyNumberFormat="1" applyFont="1" applyFill="1" applyBorder="1" applyAlignment="1">
      <alignment horizontal="center"/>
    </xf>
    <xf numFmtId="182" fontId="47" fillId="6" borderId="8" xfId="0" applyNumberFormat="1" applyFont="1" applyFill="1" applyBorder="1" applyAlignment="1">
      <alignment horizontal="center"/>
    </xf>
    <xf numFmtId="186" fontId="47" fillId="5" borderId="0" xfId="0" applyNumberFormat="1" applyFont="1" applyFill="1" applyBorder="1" applyAlignment="1">
      <alignment horizontal="center"/>
    </xf>
    <xf numFmtId="2" fontId="47" fillId="5" borderId="0" xfId="0" applyNumberFormat="1" applyFont="1" applyFill="1" applyBorder="1" applyAlignment="1">
      <alignment horizontal="center"/>
    </xf>
    <xf numFmtId="186" fontId="47" fillId="5" borderId="8" xfId="0" applyNumberFormat="1" applyFont="1" applyFill="1" applyBorder="1" applyAlignment="1">
      <alignment horizontal="center"/>
    </xf>
    <xf numFmtId="1" fontId="48" fillId="6" borderId="10" xfId="0" applyNumberFormat="1" applyFont="1" applyFill="1" applyBorder="1" applyAlignment="1" applyProtection="1">
      <alignment horizontal="left"/>
      <protection locked="0"/>
    </xf>
    <xf numFmtId="1" fontId="48" fillId="6" borderId="11" xfId="0" applyNumberFormat="1" applyFont="1" applyFill="1" applyBorder="1" applyAlignment="1" applyProtection="1">
      <alignment horizontal="center"/>
      <protection locked="0"/>
    </xf>
    <xf numFmtId="186" fontId="48" fillId="6" borderId="11" xfId="0" applyNumberFormat="1" applyFont="1" applyFill="1" applyBorder="1" applyAlignment="1">
      <alignment horizontal="center"/>
    </xf>
    <xf numFmtId="4" fontId="48" fillId="6" borderId="1" xfId="0" applyNumberFormat="1" applyFont="1" applyFill="1" applyBorder="1" applyAlignment="1" applyProtection="1">
      <alignment horizontal="center"/>
      <protection locked="0"/>
    </xf>
    <xf numFmtId="4" fontId="48" fillId="2" borderId="11" xfId="0" applyNumberFormat="1" applyFont="1" applyFill="1" applyBorder="1" applyAlignment="1">
      <alignment horizontal="center"/>
    </xf>
    <xf numFmtId="192" fontId="48" fillId="6" borderId="11" xfId="0" applyNumberFormat="1" applyFont="1" applyFill="1" applyBorder="1" applyAlignment="1">
      <alignment horizontal="center"/>
    </xf>
    <xf numFmtId="0" fontId="47" fillId="0" borderId="1" xfId="0" applyFont="1" applyBorder="1"/>
    <xf numFmtId="188" fontId="47" fillId="5" borderId="8" xfId="6" applyNumberFormat="1" applyFont="1" applyFill="1" applyBorder="1" applyAlignment="1">
      <alignment horizontal="center"/>
    </xf>
    <xf numFmtId="193" fontId="47" fillId="6" borderId="8" xfId="0" applyNumberFormat="1" applyFont="1" applyFill="1" applyBorder="1" applyAlignment="1">
      <alignment horizontal="center"/>
    </xf>
    <xf numFmtId="194" fontId="47" fillId="3" borderId="23" xfId="6" applyNumberFormat="1" applyFont="1" applyFill="1" applyBorder="1"/>
    <xf numFmtId="0" fontId="40" fillId="0" borderId="26" xfId="0" applyFont="1" applyBorder="1" applyAlignment="1">
      <alignment horizontal="left" vertical="center" wrapText="1" readingOrder="1"/>
    </xf>
    <xf numFmtId="0" fontId="40" fillId="0" borderId="25" xfId="0" applyFont="1" applyBorder="1" applyAlignment="1">
      <alignment horizontal="left" vertical="center" wrapText="1" readingOrder="1"/>
    </xf>
    <xf numFmtId="0" fontId="41" fillId="0" borderId="27" xfId="0" applyFont="1" applyBorder="1" applyAlignment="1">
      <alignment horizontal="center" vertical="center" wrapText="1" readingOrder="1"/>
    </xf>
    <xf numFmtId="0" fontId="41" fillId="0" borderId="28" xfId="0" applyFont="1" applyBorder="1" applyAlignment="1">
      <alignment horizontal="center" vertical="center" wrapText="1" readingOrder="1"/>
    </xf>
    <xf numFmtId="0" fontId="41" fillId="0" borderId="29" xfId="0" applyFont="1" applyBorder="1" applyAlignment="1">
      <alignment horizontal="center" vertical="center" wrapText="1" readingOrder="1"/>
    </xf>
    <xf numFmtId="0" fontId="44" fillId="0" borderId="7" xfId="0" applyFont="1" applyFill="1" applyBorder="1" applyAlignment="1">
      <alignment horizontal="left" vertical="center"/>
    </xf>
    <xf numFmtId="0" fontId="46" fillId="0" borderId="1" xfId="0" applyFont="1" applyFill="1" applyBorder="1" applyAlignment="1">
      <alignment horizontal="left" vertical="center"/>
    </xf>
    <xf numFmtId="0" fontId="44" fillId="7" borderId="0" xfId="0" applyFont="1" applyFill="1"/>
    <xf numFmtId="0" fontId="36" fillId="0" borderId="18" xfId="0" applyFont="1" applyFill="1" applyBorder="1" applyAlignment="1">
      <alignment horizontal="center" vertical="top" wrapText="1"/>
    </xf>
    <xf numFmtId="0" fontId="8" fillId="4" borderId="0" xfId="0" applyFont="1" applyFill="1" applyAlignment="1">
      <alignment horizontal="center"/>
    </xf>
    <xf numFmtId="0" fontId="44" fillId="7" borderId="0" xfId="0" applyFont="1" applyFill="1" applyAlignment="1">
      <alignment horizontal="left"/>
    </xf>
  </cellXfs>
  <cellStyles count="7">
    <cellStyle name="0,0_x000d__x000a_NA_x000d__x000a_" xfId="1"/>
    <cellStyle name="Normal_Load file example V4" xfId="2"/>
    <cellStyle name="Style 1" xfId="3"/>
    <cellStyle name="百分比" xfId="4" builtinId="5"/>
    <cellStyle name="常规" xfId="0" builtinId="0"/>
    <cellStyle name="超链接" xfId="5" builtinId="8"/>
    <cellStyle name="货币" xfId="6" builtinId="4"/>
  </cellStyles>
  <dxfs count="4">
    <dxf>
      <fill>
        <patternFill>
          <bgColor indexed="10"/>
        </patternFill>
      </fill>
    </dxf>
    <dxf>
      <fill>
        <patternFill>
          <bgColor indexed="10"/>
        </patternFill>
      </fill>
    </dxf>
    <dxf>
      <fill>
        <patternFill>
          <bgColor indexed="10"/>
        </patternFill>
      </fill>
    </dxf>
    <dxf>
      <fill>
        <patternFill>
          <bgColor indexed="1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FFF7F"/>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A7D3FF"/>
      <rgbColor rgb="00FFC9ED"/>
      <rgbColor rgb="00B7B7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76200</xdr:colOff>
      <xdr:row>0</xdr:row>
      <xdr:rowOff>66675</xdr:rowOff>
    </xdr:from>
    <xdr:to>
      <xdr:col>27</xdr:col>
      <xdr:colOff>247650</xdr:colOff>
      <xdr:row>22</xdr:row>
      <xdr:rowOff>38100</xdr:rowOff>
    </xdr:to>
    <xdr:pic>
      <xdr:nvPicPr>
        <xdr:cNvPr id="5207" name="Picture 72"/>
        <xdr:cNvPicPr>
          <a:picLocks noChangeAspect="1" noChangeArrowheads="1"/>
        </xdr:cNvPicPr>
      </xdr:nvPicPr>
      <xdr:blipFill>
        <a:blip xmlns:r="http://schemas.openxmlformats.org/officeDocument/2006/relationships" r:embed="rId1" cstate="print"/>
        <a:srcRect/>
        <a:stretch>
          <a:fillRect/>
        </a:stretch>
      </xdr:blipFill>
      <xdr:spPr bwMode="auto">
        <a:xfrm>
          <a:off x="12734925" y="66675"/>
          <a:ext cx="6267450" cy="31242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99CC"/>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s://w3.tap.ibm.com/w3ki04/display/anzcm/Labou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codeName="Sheet16" enableFormatConditionsCalculation="0">
    <tabColor indexed="45"/>
  </sheetPr>
  <dimension ref="V1"/>
  <sheetViews>
    <sheetView workbookViewId="0"/>
  </sheetViews>
  <sheetFormatPr defaultRowHeight="12.75"/>
  <sheetData>
    <row r="1" spans="22:22">
      <c r="V1" s="94" t="s">
        <v>1078</v>
      </c>
    </row>
  </sheetData>
  <phoneticPr fontId="5"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sheetPr codeName="Sheet14"/>
  <dimension ref="A3:B20"/>
  <sheetViews>
    <sheetView workbookViewId="0"/>
  </sheetViews>
  <sheetFormatPr defaultRowHeight="11.25"/>
  <cols>
    <col min="1" max="1" width="23.5703125" style="1" bestFit="1" customWidth="1"/>
    <col min="2" max="2" width="80.7109375" style="1" customWidth="1"/>
    <col min="3" max="16384" width="9.140625" style="1"/>
  </cols>
  <sheetData>
    <row r="3" spans="1:2" ht="22.5">
      <c r="A3" s="1" t="s">
        <v>897</v>
      </c>
      <c r="B3" s="114" t="s">
        <v>898</v>
      </c>
    </row>
    <row r="4" spans="1:2" ht="22.5">
      <c r="A4" s="1" t="s">
        <v>899</v>
      </c>
      <c r="B4" s="114" t="s">
        <v>968</v>
      </c>
    </row>
    <row r="5" spans="1:2" ht="33.75">
      <c r="A5" s="1" t="s">
        <v>969</v>
      </c>
      <c r="B5" s="114" t="s">
        <v>939</v>
      </c>
    </row>
    <row r="6" spans="1:2" ht="33.75">
      <c r="A6" s="1" t="s">
        <v>940</v>
      </c>
      <c r="B6" s="114" t="s">
        <v>971</v>
      </c>
    </row>
    <row r="7" spans="1:2" ht="22.5">
      <c r="A7" s="1" t="s">
        <v>972</v>
      </c>
      <c r="B7" s="114" t="s">
        <v>973</v>
      </c>
    </row>
    <row r="8" spans="1:2" ht="22.5">
      <c r="A8" s="1" t="s">
        <v>974</v>
      </c>
      <c r="B8" s="114" t="s">
        <v>975</v>
      </c>
    </row>
    <row r="9" spans="1:2" ht="22.5">
      <c r="A9" s="1" t="s">
        <v>976</v>
      </c>
      <c r="B9" s="114" t="s">
        <v>1000</v>
      </c>
    </row>
    <row r="10" spans="1:2">
      <c r="A10" s="1" t="s">
        <v>1001</v>
      </c>
      <c r="B10" s="114" t="s">
        <v>23</v>
      </c>
    </row>
    <row r="11" spans="1:2" ht="22.5">
      <c r="A11" s="1" t="s">
        <v>24</v>
      </c>
      <c r="B11" s="114" t="s">
        <v>25</v>
      </c>
    </row>
    <row r="12" spans="1:2" ht="33.75">
      <c r="A12" s="1" t="s">
        <v>26</v>
      </c>
      <c r="B12" s="114" t="s">
        <v>1067</v>
      </c>
    </row>
    <row r="13" spans="1:2" ht="22.5">
      <c r="A13" s="1" t="s">
        <v>1068</v>
      </c>
      <c r="B13" s="114" t="s">
        <v>523</v>
      </c>
    </row>
    <row r="14" spans="1:2" ht="33.75">
      <c r="A14" s="1" t="s">
        <v>524</v>
      </c>
      <c r="B14" s="114" t="s">
        <v>1072</v>
      </c>
    </row>
    <row r="15" spans="1:2">
      <c r="A15" s="1" t="s">
        <v>1073</v>
      </c>
      <c r="B15" s="114" t="s">
        <v>1074</v>
      </c>
    </row>
    <row r="16" spans="1:2" ht="22.5">
      <c r="A16" s="1" t="s">
        <v>1075</v>
      </c>
      <c r="B16" s="114" t="s">
        <v>508</v>
      </c>
    </row>
    <row r="17" spans="1:2" ht="22.5">
      <c r="A17" s="1" t="s">
        <v>509</v>
      </c>
      <c r="B17" s="114" t="s">
        <v>510</v>
      </c>
    </row>
    <row r="18" spans="1:2" ht="22.5">
      <c r="A18" s="1" t="s">
        <v>511</v>
      </c>
      <c r="B18" s="114" t="s">
        <v>512</v>
      </c>
    </row>
    <row r="19" spans="1:2">
      <c r="A19" s="1" t="s">
        <v>513</v>
      </c>
      <c r="B19" s="114" t="s">
        <v>514</v>
      </c>
    </row>
    <row r="20" spans="1:2">
      <c r="A20" s="1" t="s">
        <v>515</v>
      </c>
      <c r="B20" s="114" t="s">
        <v>516</v>
      </c>
    </row>
  </sheetData>
  <phoneticPr fontId="5"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sheetPr codeName="Sheet18"/>
  <dimension ref="A1:P149"/>
  <sheetViews>
    <sheetView workbookViewId="0">
      <selection activeCell="N4" sqref="N4"/>
    </sheetView>
  </sheetViews>
  <sheetFormatPr defaultRowHeight="11.25"/>
  <cols>
    <col min="1" max="1" width="34.5703125" style="95" customWidth="1"/>
    <col min="2" max="2" width="10.5703125" style="95" customWidth="1"/>
    <col min="3" max="3" width="10" style="98" customWidth="1"/>
    <col min="4" max="4" width="10.5703125" style="99" customWidth="1"/>
    <col min="5" max="5" width="9.140625" style="96"/>
    <col min="6" max="6" width="9" style="96" customWidth="1"/>
    <col min="7" max="7" width="5.140625" style="96" customWidth="1"/>
    <col min="8" max="8" width="7.7109375" style="96" customWidth="1"/>
    <col min="9" max="9" width="7.42578125" style="96" customWidth="1"/>
    <col min="10" max="10" width="6.7109375" style="96" customWidth="1"/>
    <col min="11" max="11" width="7.140625" style="96" customWidth="1"/>
    <col min="12" max="12" width="6.28515625" style="96" customWidth="1"/>
    <col min="13" max="13" width="6.140625" style="96" customWidth="1"/>
    <col min="14" max="14" width="6.28515625" style="96" customWidth="1"/>
    <col min="15" max="15" width="6.5703125" style="96" customWidth="1"/>
    <col min="16" max="16" width="5.42578125" style="96" customWidth="1"/>
    <col min="17" max="16384" width="9.140625" style="96"/>
  </cols>
  <sheetData>
    <row r="1" spans="1:12" ht="22.5">
      <c r="A1" s="232" t="s">
        <v>827</v>
      </c>
      <c r="B1" s="233" t="s">
        <v>943</v>
      </c>
      <c r="C1" s="233" t="s">
        <v>828</v>
      </c>
      <c r="D1" s="233" t="s">
        <v>162</v>
      </c>
      <c r="E1" s="233" t="s">
        <v>1051</v>
      </c>
      <c r="F1" s="233" t="s">
        <v>937</v>
      </c>
      <c r="G1" s="233" t="s">
        <v>230</v>
      </c>
      <c r="H1" s="233" t="s">
        <v>544</v>
      </c>
      <c r="I1" s="233" t="s">
        <v>543</v>
      </c>
      <c r="J1" s="231"/>
    </row>
    <row r="2" spans="1:12">
      <c r="A2" s="234" t="s">
        <v>166</v>
      </c>
      <c r="B2" s="235" t="e">
        <f t="shared" ref="B2:B32" si="0">ONGOINGDATE</f>
        <v>#REF!</v>
      </c>
      <c r="C2" s="235">
        <v>39964</v>
      </c>
      <c r="D2" s="236" t="e">
        <f t="shared" ref="D2:D32" si="1">(YEAR(C2)-YEAR(B2))*12+MONTH(C2)-MONTH(B2)</f>
        <v>#REF!</v>
      </c>
      <c r="E2" s="234" t="e">
        <f t="shared" ref="E2:E32" si="2">D2/12</f>
        <v>#REF!</v>
      </c>
      <c r="F2" s="237">
        <v>291082</v>
      </c>
      <c r="G2" s="234" t="e">
        <f t="shared" ref="G2:G33" si="3">NETWORKDAYS(DAY(B2),DAY(C2))</f>
        <v>#REF!</v>
      </c>
      <c r="H2" s="234" t="s">
        <v>252</v>
      </c>
      <c r="I2" s="234"/>
      <c r="J2" s="117"/>
      <c r="K2" s="167"/>
      <c r="L2" s="167"/>
    </row>
    <row r="3" spans="1:12">
      <c r="A3" s="238" t="s">
        <v>258</v>
      </c>
      <c r="B3" s="235" t="e">
        <f t="shared" si="0"/>
        <v>#REF!</v>
      </c>
      <c r="C3" s="235">
        <v>41516</v>
      </c>
      <c r="D3" s="236" t="e">
        <f t="shared" si="1"/>
        <v>#REF!</v>
      </c>
      <c r="E3" s="234" t="e">
        <f t="shared" si="2"/>
        <v>#REF!</v>
      </c>
      <c r="F3" s="237">
        <v>363767</v>
      </c>
      <c r="G3" s="234" t="e">
        <f t="shared" si="3"/>
        <v>#REF!</v>
      </c>
      <c r="H3" s="234" t="s">
        <v>365</v>
      </c>
      <c r="I3" s="234"/>
      <c r="J3" s="117"/>
      <c r="K3" s="167"/>
      <c r="L3" s="167"/>
    </row>
    <row r="4" spans="1:12">
      <c r="A4" s="234" t="s">
        <v>469</v>
      </c>
      <c r="B4" s="235" t="e">
        <f t="shared" si="0"/>
        <v>#REF!</v>
      </c>
      <c r="C4" s="235">
        <v>41192</v>
      </c>
      <c r="D4" s="236" t="e">
        <f t="shared" si="1"/>
        <v>#REF!</v>
      </c>
      <c r="E4" s="234" t="e">
        <f t="shared" si="2"/>
        <v>#REF!</v>
      </c>
      <c r="F4" s="237">
        <v>368183</v>
      </c>
      <c r="G4" s="234" t="e">
        <f t="shared" si="3"/>
        <v>#REF!</v>
      </c>
      <c r="H4" s="234" t="s">
        <v>252</v>
      </c>
      <c r="I4" s="234"/>
      <c r="J4" s="117"/>
      <c r="K4" s="167"/>
      <c r="L4" s="167"/>
    </row>
    <row r="5" spans="1:12">
      <c r="A5" s="234" t="s">
        <v>470</v>
      </c>
      <c r="B5" s="235" t="e">
        <f t="shared" si="0"/>
        <v>#REF!</v>
      </c>
      <c r="C5" s="235">
        <v>41243</v>
      </c>
      <c r="D5" s="236" t="e">
        <f t="shared" si="1"/>
        <v>#REF!</v>
      </c>
      <c r="E5" s="234" t="e">
        <f t="shared" si="2"/>
        <v>#REF!</v>
      </c>
      <c r="F5" s="237">
        <v>371499</v>
      </c>
      <c r="G5" s="234" t="e">
        <f t="shared" si="3"/>
        <v>#REF!</v>
      </c>
      <c r="H5" s="234" t="s">
        <v>365</v>
      </c>
      <c r="I5" s="234"/>
      <c r="J5" s="117"/>
      <c r="K5" s="168"/>
      <c r="L5" s="167"/>
    </row>
    <row r="6" spans="1:12">
      <c r="A6" s="238" t="s">
        <v>259</v>
      </c>
      <c r="B6" s="235" t="e">
        <f t="shared" si="0"/>
        <v>#REF!</v>
      </c>
      <c r="C6" s="235">
        <v>40237</v>
      </c>
      <c r="D6" s="236" t="e">
        <f t="shared" si="1"/>
        <v>#REF!</v>
      </c>
      <c r="E6" s="234" t="e">
        <f t="shared" si="2"/>
        <v>#REF!</v>
      </c>
      <c r="F6" s="237">
        <v>317911</v>
      </c>
      <c r="G6" s="234" t="e">
        <f t="shared" si="3"/>
        <v>#REF!</v>
      </c>
      <c r="H6" s="234" t="s">
        <v>365</v>
      </c>
      <c r="I6" s="234"/>
      <c r="J6" s="117"/>
      <c r="K6" s="168"/>
      <c r="L6" s="167"/>
    </row>
    <row r="7" spans="1:12">
      <c r="A7" s="239" t="s">
        <v>167</v>
      </c>
      <c r="B7" s="235" t="e">
        <f t="shared" si="0"/>
        <v>#REF!</v>
      </c>
      <c r="C7" s="235">
        <v>41305</v>
      </c>
      <c r="D7" s="236" t="e">
        <f t="shared" si="1"/>
        <v>#REF!</v>
      </c>
      <c r="E7" s="234" t="e">
        <f t="shared" si="2"/>
        <v>#REF!</v>
      </c>
      <c r="F7" s="237">
        <v>343049</v>
      </c>
      <c r="G7" s="234" t="e">
        <f t="shared" si="3"/>
        <v>#REF!</v>
      </c>
      <c r="H7" s="234" t="s">
        <v>252</v>
      </c>
      <c r="I7" s="234"/>
      <c r="J7" s="117"/>
      <c r="K7" s="169"/>
      <c r="L7" s="167"/>
    </row>
    <row r="8" spans="1:12">
      <c r="A8" s="238" t="s">
        <v>260</v>
      </c>
      <c r="B8" s="235" t="e">
        <f t="shared" si="0"/>
        <v>#REF!</v>
      </c>
      <c r="C8" s="235">
        <v>41091</v>
      </c>
      <c r="D8" s="236" t="e">
        <f t="shared" si="1"/>
        <v>#REF!</v>
      </c>
      <c r="E8" s="234" t="e">
        <f t="shared" si="2"/>
        <v>#REF!</v>
      </c>
      <c r="F8" s="237">
        <v>371880</v>
      </c>
      <c r="G8" s="234" t="e">
        <f t="shared" si="3"/>
        <v>#REF!</v>
      </c>
      <c r="H8" s="234" t="s">
        <v>252</v>
      </c>
      <c r="I8" s="234"/>
      <c r="J8" s="117"/>
      <c r="K8" s="167"/>
      <c r="L8" s="167"/>
    </row>
    <row r="9" spans="1:12">
      <c r="A9" s="234" t="s">
        <v>919</v>
      </c>
      <c r="B9" s="235" t="e">
        <f t="shared" si="0"/>
        <v>#REF!</v>
      </c>
      <c r="C9" s="235">
        <v>40307</v>
      </c>
      <c r="D9" s="236" t="e">
        <f t="shared" si="1"/>
        <v>#REF!</v>
      </c>
      <c r="E9" s="234" t="e">
        <f t="shared" si="2"/>
        <v>#REF!</v>
      </c>
      <c r="F9" s="237">
        <v>343262</v>
      </c>
      <c r="G9" s="234" t="e">
        <f t="shared" si="3"/>
        <v>#REF!</v>
      </c>
      <c r="H9" s="234" t="s">
        <v>252</v>
      </c>
      <c r="I9" s="234"/>
      <c r="J9" s="117"/>
      <c r="K9" s="167"/>
      <c r="L9" s="167"/>
    </row>
    <row r="10" spans="1:12" s="97" customFormat="1">
      <c r="A10" s="234" t="s">
        <v>920</v>
      </c>
      <c r="B10" s="235" t="e">
        <f t="shared" si="0"/>
        <v>#REF!</v>
      </c>
      <c r="C10" s="235">
        <v>40967</v>
      </c>
      <c r="D10" s="236" t="e">
        <f t="shared" si="1"/>
        <v>#REF!</v>
      </c>
      <c r="E10" s="234" t="e">
        <f t="shared" si="2"/>
        <v>#REF!</v>
      </c>
      <c r="F10" s="237">
        <v>326215</v>
      </c>
      <c r="G10" s="234" t="e">
        <f t="shared" si="3"/>
        <v>#REF!</v>
      </c>
      <c r="H10" s="234" t="s">
        <v>252</v>
      </c>
      <c r="I10" s="234"/>
      <c r="J10" s="117"/>
      <c r="K10" s="169"/>
      <c r="L10" s="169"/>
    </row>
    <row r="11" spans="1:12">
      <c r="A11" s="238" t="s">
        <v>261</v>
      </c>
      <c r="B11" s="235" t="e">
        <f t="shared" si="0"/>
        <v>#REF!</v>
      </c>
      <c r="C11" s="235">
        <v>41455</v>
      </c>
      <c r="D11" s="236" t="e">
        <f t="shared" si="1"/>
        <v>#REF!</v>
      </c>
      <c r="E11" s="234" t="e">
        <f t="shared" si="2"/>
        <v>#REF!</v>
      </c>
      <c r="F11" s="237">
        <v>367030</v>
      </c>
      <c r="G11" s="234" t="e">
        <f t="shared" si="3"/>
        <v>#REF!</v>
      </c>
      <c r="H11" s="234" t="s">
        <v>252</v>
      </c>
      <c r="I11" s="234"/>
      <c r="J11" s="117"/>
      <c r="K11" s="167"/>
      <c r="L11" s="167"/>
    </row>
    <row r="12" spans="1:12">
      <c r="A12" s="234" t="s">
        <v>921</v>
      </c>
      <c r="B12" s="235" t="e">
        <f t="shared" si="0"/>
        <v>#REF!</v>
      </c>
      <c r="C12" s="235">
        <v>40967</v>
      </c>
      <c r="D12" s="236" t="e">
        <f t="shared" si="1"/>
        <v>#REF!</v>
      </c>
      <c r="E12" s="234" t="e">
        <f t="shared" si="2"/>
        <v>#REF!</v>
      </c>
      <c r="F12" s="237">
        <v>367797</v>
      </c>
      <c r="G12" s="234" t="e">
        <f t="shared" si="3"/>
        <v>#REF!</v>
      </c>
      <c r="H12" s="234" t="s">
        <v>252</v>
      </c>
      <c r="I12" s="234"/>
      <c r="J12" s="117"/>
      <c r="K12" s="167"/>
      <c r="L12" s="167"/>
    </row>
    <row r="13" spans="1:12">
      <c r="A13" s="234" t="s">
        <v>435</v>
      </c>
      <c r="B13" s="235" t="e">
        <f t="shared" si="0"/>
        <v>#REF!</v>
      </c>
      <c r="C13" s="235">
        <v>40330</v>
      </c>
      <c r="D13" s="236" t="e">
        <f t="shared" si="1"/>
        <v>#REF!</v>
      </c>
      <c r="E13" s="234" t="e">
        <f t="shared" si="2"/>
        <v>#REF!</v>
      </c>
      <c r="F13" s="237">
        <v>322988</v>
      </c>
      <c r="G13" s="234" t="e">
        <f t="shared" si="3"/>
        <v>#REF!</v>
      </c>
      <c r="H13" s="234" t="s">
        <v>252</v>
      </c>
      <c r="I13" s="234"/>
      <c r="J13" s="117"/>
      <c r="K13" s="167"/>
      <c r="L13" s="167"/>
    </row>
    <row r="14" spans="1:12">
      <c r="A14" s="238" t="s">
        <v>264</v>
      </c>
      <c r="B14" s="235" t="e">
        <f t="shared" si="0"/>
        <v>#REF!</v>
      </c>
      <c r="C14" s="235">
        <v>40927</v>
      </c>
      <c r="D14" s="236" t="e">
        <f t="shared" si="1"/>
        <v>#REF!</v>
      </c>
      <c r="E14" s="234" t="e">
        <f t="shared" si="2"/>
        <v>#REF!</v>
      </c>
      <c r="F14" s="237">
        <v>362170</v>
      </c>
      <c r="G14" s="234" t="e">
        <f t="shared" si="3"/>
        <v>#REF!</v>
      </c>
      <c r="H14" s="234" t="s">
        <v>252</v>
      </c>
      <c r="I14" s="234"/>
      <c r="J14" s="117"/>
      <c r="K14" s="167"/>
      <c r="L14" s="167"/>
    </row>
    <row r="15" spans="1:12">
      <c r="A15" s="234" t="s">
        <v>292</v>
      </c>
      <c r="B15" s="235" t="e">
        <f t="shared" si="0"/>
        <v>#REF!</v>
      </c>
      <c r="C15" s="235">
        <v>40614</v>
      </c>
      <c r="D15" s="236" t="e">
        <f t="shared" si="1"/>
        <v>#REF!</v>
      </c>
      <c r="E15" s="234" t="e">
        <f t="shared" si="2"/>
        <v>#REF!</v>
      </c>
      <c r="F15" s="237">
        <v>363644</v>
      </c>
      <c r="G15" s="234" t="e">
        <f t="shared" si="3"/>
        <v>#REF!</v>
      </c>
      <c r="H15" s="234" t="s">
        <v>252</v>
      </c>
      <c r="I15" s="234"/>
      <c r="J15" s="117"/>
      <c r="K15" s="167"/>
      <c r="L15" s="167"/>
    </row>
    <row r="16" spans="1:12">
      <c r="A16" s="238" t="s">
        <v>111</v>
      </c>
      <c r="B16" s="235" t="e">
        <f t="shared" si="0"/>
        <v>#REF!</v>
      </c>
      <c r="C16" s="235">
        <v>41617</v>
      </c>
      <c r="D16" s="236" t="e">
        <f t="shared" si="1"/>
        <v>#REF!</v>
      </c>
      <c r="E16" s="234" t="e">
        <f t="shared" si="2"/>
        <v>#REF!</v>
      </c>
      <c r="F16" s="237">
        <v>376675</v>
      </c>
      <c r="G16" s="234" t="e">
        <f t="shared" si="3"/>
        <v>#REF!</v>
      </c>
      <c r="H16" s="234" t="s">
        <v>252</v>
      </c>
      <c r="I16" s="234" t="s">
        <v>365</v>
      </c>
      <c r="J16" s="117"/>
      <c r="K16" s="167"/>
      <c r="L16" s="167"/>
    </row>
    <row r="17" spans="1:13">
      <c r="A17" s="238" t="s">
        <v>110</v>
      </c>
      <c r="B17" s="235" t="e">
        <f t="shared" si="0"/>
        <v>#REF!</v>
      </c>
      <c r="C17" s="235">
        <v>41617</v>
      </c>
      <c r="D17" s="236" t="e">
        <f t="shared" si="1"/>
        <v>#REF!</v>
      </c>
      <c r="E17" s="234" t="e">
        <f t="shared" si="2"/>
        <v>#REF!</v>
      </c>
      <c r="F17" s="237">
        <v>376675</v>
      </c>
      <c r="G17" s="234" t="e">
        <f t="shared" si="3"/>
        <v>#REF!</v>
      </c>
      <c r="H17" s="234" t="s">
        <v>252</v>
      </c>
      <c r="I17" s="234" t="s">
        <v>365</v>
      </c>
      <c r="J17" s="117"/>
      <c r="K17" s="167"/>
      <c r="L17" s="167"/>
    </row>
    <row r="18" spans="1:13">
      <c r="A18" s="238" t="s">
        <v>112</v>
      </c>
      <c r="B18" s="235" t="e">
        <f t="shared" si="0"/>
        <v>#REF!</v>
      </c>
      <c r="C18" s="235">
        <v>41617</v>
      </c>
      <c r="D18" s="236" t="e">
        <f t="shared" si="1"/>
        <v>#REF!</v>
      </c>
      <c r="E18" s="234" t="e">
        <f t="shared" si="2"/>
        <v>#REF!</v>
      </c>
      <c r="F18" s="237">
        <v>376675</v>
      </c>
      <c r="G18" s="234" t="e">
        <f t="shared" si="3"/>
        <v>#REF!</v>
      </c>
      <c r="H18" s="234" t="s">
        <v>252</v>
      </c>
      <c r="I18" s="234" t="s">
        <v>365</v>
      </c>
      <c r="J18" s="117"/>
      <c r="K18" s="167"/>
      <c r="L18" s="167"/>
    </row>
    <row r="19" spans="1:13">
      <c r="A19" s="238" t="s">
        <v>262</v>
      </c>
      <c r="B19" s="235" t="e">
        <f t="shared" si="0"/>
        <v>#REF!</v>
      </c>
      <c r="C19" s="235">
        <v>41547</v>
      </c>
      <c r="D19" s="236" t="e">
        <f t="shared" si="1"/>
        <v>#REF!</v>
      </c>
      <c r="E19" s="234" t="e">
        <f t="shared" si="2"/>
        <v>#REF!</v>
      </c>
      <c r="F19" s="237">
        <v>376675</v>
      </c>
      <c r="G19" s="234" t="e">
        <f t="shared" si="3"/>
        <v>#REF!</v>
      </c>
      <c r="H19" s="234" t="s">
        <v>252</v>
      </c>
      <c r="I19" s="234" t="s">
        <v>365</v>
      </c>
      <c r="J19" s="117"/>
      <c r="K19" s="167"/>
      <c r="L19" s="167"/>
    </row>
    <row r="20" spans="1:13">
      <c r="A20" s="238" t="s">
        <v>263</v>
      </c>
      <c r="B20" s="235" t="e">
        <f t="shared" si="0"/>
        <v>#REF!</v>
      </c>
      <c r="C20" s="235">
        <v>41617</v>
      </c>
      <c r="D20" s="236" t="e">
        <f t="shared" si="1"/>
        <v>#REF!</v>
      </c>
      <c r="E20" s="234" t="e">
        <f t="shared" si="2"/>
        <v>#REF!</v>
      </c>
      <c r="F20" s="237">
        <v>376675</v>
      </c>
      <c r="G20" s="234" t="e">
        <f t="shared" si="3"/>
        <v>#REF!</v>
      </c>
      <c r="H20" s="234" t="s">
        <v>252</v>
      </c>
      <c r="I20" s="234" t="s">
        <v>365</v>
      </c>
      <c r="J20" s="117"/>
      <c r="K20" s="167"/>
      <c r="L20" s="167"/>
    </row>
    <row r="21" spans="1:13">
      <c r="A21" s="234" t="s">
        <v>168</v>
      </c>
      <c r="B21" s="235" t="e">
        <f t="shared" si="0"/>
        <v>#REF!</v>
      </c>
      <c r="C21" s="235">
        <v>40134</v>
      </c>
      <c r="D21" s="236" t="e">
        <f t="shared" si="1"/>
        <v>#REF!</v>
      </c>
      <c r="E21" s="234" t="e">
        <f t="shared" si="2"/>
        <v>#REF!</v>
      </c>
      <c r="F21" s="237">
        <v>364387</v>
      </c>
      <c r="G21" s="234" t="e">
        <f t="shared" si="3"/>
        <v>#REF!</v>
      </c>
      <c r="H21" s="234" t="s">
        <v>252</v>
      </c>
      <c r="I21" s="234"/>
      <c r="J21" s="117"/>
      <c r="K21" s="167"/>
      <c r="L21" s="167"/>
    </row>
    <row r="22" spans="1:13">
      <c r="A22" s="234" t="s">
        <v>1056</v>
      </c>
      <c r="B22" s="235" t="e">
        <f t="shared" si="0"/>
        <v>#REF!</v>
      </c>
      <c r="C22" s="235">
        <v>39995</v>
      </c>
      <c r="D22" s="236" t="e">
        <f t="shared" si="1"/>
        <v>#REF!</v>
      </c>
      <c r="E22" s="234" t="e">
        <f t="shared" si="2"/>
        <v>#REF!</v>
      </c>
      <c r="F22" s="237">
        <v>370341</v>
      </c>
      <c r="G22" s="234" t="e">
        <f t="shared" si="3"/>
        <v>#REF!</v>
      </c>
      <c r="H22" s="234" t="s">
        <v>252</v>
      </c>
      <c r="I22" s="234"/>
      <c r="J22" s="117"/>
      <c r="K22" s="167"/>
      <c r="L22" s="167"/>
    </row>
    <row r="23" spans="1:13">
      <c r="A23" s="238" t="s">
        <v>301</v>
      </c>
      <c r="B23" s="235" t="e">
        <f t="shared" si="0"/>
        <v>#REF!</v>
      </c>
      <c r="C23" s="235">
        <v>40908</v>
      </c>
      <c r="D23" s="236" t="e">
        <f t="shared" si="1"/>
        <v>#REF!</v>
      </c>
      <c r="E23" s="234" t="e">
        <f t="shared" si="2"/>
        <v>#REF!</v>
      </c>
      <c r="F23" s="237">
        <v>377696</v>
      </c>
      <c r="G23" s="234" t="e">
        <f t="shared" si="3"/>
        <v>#REF!</v>
      </c>
      <c r="H23" s="234" t="s">
        <v>252</v>
      </c>
      <c r="I23" s="234"/>
      <c r="J23" s="117"/>
      <c r="K23" s="167"/>
      <c r="L23" s="167"/>
    </row>
    <row r="24" spans="1:13">
      <c r="A24" s="234" t="s">
        <v>169</v>
      </c>
      <c r="B24" s="235" t="e">
        <f t="shared" si="0"/>
        <v>#REF!</v>
      </c>
      <c r="C24" s="235">
        <v>41639</v>
      </c>
      <c r="D24" s="236" t="e">
        <f t="shared" si="1"/>
        <v>#REF!</v>
      </c>
      <c r="E24" s="234" t="e">
        <f t="shared" si="2"/>
        <v>#REF!</v>
      </c>
      <c r="F24" s="237">
        <v>362235</v>
      </c>
      <c r="G24" s="234" t="e">
        <f t="shared" si="3"/>
        <v>#REF!</v>
      </c>
      <c r="H24" s="234" t="s">
        <v>252</v>
      </c>
      <c r="I24" s="234"/>
      <c r="J24" s="117"/>
      <c r="K24" s="167"/>
      <c r="L24" s="167"/>
    </row>
    <row r="25" spans="1:13">
      <c r="A25" s="234" t="s">
        <v>294</v>
      </c>
      <c r="B25" s="235" t="e">
        <f t="shared" si="0"/>
        <v>#REF!</v>
      </c>
      <c r="C25" s="235">
        <v>41455</v>
      </c>
      <c r="D25" s="236" t="e">
        <f t="shared" si="1"/>
        <v>#REF!</v>
      </c>
      <c r="E25" s="234" t="e">
        <f t="shared" si="2"/>
        <v>#REF!</v>
      </c>
      <c r="F25" s="237">
        <v>319623</v>
      </c>
      <c r="G25" s="234" t="e">
        <f t="shared" si="3"/>
        <v>#REF!</v>
      </c>
      <c r="H25" s="234" t="s">
        <v>252</v>
      </c>
      <c r="I25" s="234"/>
      <c r="J25" s="117"/>
      <c r="K25" s="167"/>
      <c r="L25" s="167"/>
    </row>
    <row r="26" spans="1:13">
      <c r="A26" s="238" t="s">
        <v>978</v>
      </c>
      <c r="B26" s="235" t="e">
        <f t="shared" si="0"/>
        <v>#REF!</v>
      </c>
      <c r="C26" s="235">
        <v>41852</v>
      </c>
      <c r="D26" s="236" t="e">
        <f t="shared" si="1"/>
        <v>#REF!</v>
      </c>
      <c r="E26" s="234" t="e">
        <f t="shared" si="2"/>
        <v>#REF!</v>
      </c>
      <c r="F26" s="237">
        <v>371763</v>
      </c>
      <c r="G26" s="234" t="e">
        <f t="shared" si="3"/>
        <v>#REF!</v>
      </c>
      <c r="H26" s="234" t="s">
        <v>252</v>
      </c>
      <c r="I26" s="234"/>
      <c r="J26" s="117"/>
      <c r="K26" s="167"/>
      <c r="L26" s="167"/>
    </row>
    <row r="27" spans="1:13">
      <c r="A27" s="234" t="s">
        <v>1081</v>
      </c>
      <c r="B27" s="235" t="e">
        <f t="shared" si="0"/>
        <v>#REF!</v>
      </c>
      <c r="C27" s="235">
        <v>40208</v>
      </c>
      <c r="D27" s="236" t="e">
        <f t="shared" si="1"/>
        <v>#REF!</v>
      </c>
      <c r="E27" s="234" t="e">
        <f t="shared" si="2"/>
        <v>#REF!</v>
      </c>
      <c r="F27" s="237">
        <v>362176</v>
      </c>
      <c r="G27" s="234" t="e">
        <f t="shared" si="3"/>
        <v>#REF!</v>
      </c>
      <c r="H27" s="234" t="s">
        <v>252</v>
      </c>
      <c r="I27" s="234"/>
      <c r="J27" s="117"/>
      <c r="K27" s="167"/>
      <c r="L27" s="167"/>
    </row>
    <row r="28" spans="1:13">
      <c r="A28" s="238" t="s">
        <v>302</v>
      </c>
      <c r="B28" s="235" t="e">
        <f t="shared" si="0"/>
        <v>#REF!</v>
      </c>
      <c r="C28" s="235">
        <v>40543</v>
      </c>
      <c r="D28" s="236" t="e">
        <f t="shared" si="1"/>
        <v>#REF!</v>
      </c>
      <c r="E28" s="234" t="e">
        <f t="shared" si="2"/>
        <v>#REF!</v>
      </c>
      <c r="F28" s="237">
        <v>366211</v>
      </c>
      <c r="G28" s="234" t="e">
        <f t="shared" si="3"/>
        <v>#REF!</v>
      </c>
      <c r="H28" s="234" t="s">
        <v>252</v>
      </c>
      <c r="I28" s="234"/>
      <c r="J28" s="117"/>
      <c r="K28" s="167"/>
      <c r="L28" s="167"/>
    </row>
    <row r="29" spans="1:13">
      <c r="A29" s="234" t="s">
        <v>657</v>
      </c>
      <c r="B29" s="235" t="e">
        <f t="shared" si="0"/>
        <v>#REF!</v>
      </c>
      <c r="C29" s="235">
        <v>40359</v>
      </c>
      <c r="D29" s="236" t="e">
        <f t="shared" si="1"/>
        <v>#REF!</v>
      </c>
      <c r="E29" s="234" t="e">
        <f t="shared" si="2"/>
        <v>#REF!</v>
      </c>
      <c r="F29" s="237">
        <v>103852</v>
      </c>
      <c r="G29" s="234" t="e">
        <f t="shared" si="3"/>
        <v>#REF!</v>
      </c>
      <c r="H29" s="234" t="s">
        <v>252</v>
      </c>
      <c r="I29" s="234"/>
      <c r="J29" s="117"/>
      <c r="K29" s="167"/>
      <c r="L29" s="167"/>
    </row>
    <row r="30" spans="1:13">
      <c r="A30" s="234" t="s">
        <v>1</v>
      </c>
      <c r="B30" s="235" t="e">
        <f t="shared" si="0"/>
        <v>#REF!</v>
      </c>
      <c r="C30" s="235">
        <v>40359</v>
      </c>
      <c r="D30" s="236" t="e">
        <f t="shared" si="1"/>
        <v>#REF!</v>
      </c>
      <c r="E30" s="234" t="e">
        <f t="shared" si="2"/>
        <v>#REF!</v>
      </c>
      <c r="F30" s="237">
        <v>305102</v>
      </c>
      <c r="G30" s="234" t="e">
        <f t="shared" si="3"/>
        <v>#REF!</v>
      </c>
      <c r="H30" s="234" t="s">
        <v>252</v>
      </c>
      <c r="I30" s="234"/>
      <c r="J30" s="117"/>
      <c r="K30" s="167"/>
      <c r="L30" s="167"/>
    </row>
    <row r="31" spans="1:13">
      <c r="A31" s="234" t="s">
        <v>982</v>
      </c>
      <c r="B31" s="235" t="e">
        <f t="shared" si="0"/>
        <v>#REF!</v>
      </c>
      <c r="C31" s="235">
        <v>42262</v>
      </c>
      <c r="D31" s="236" t="e">
        <f t="shared" si="1"/>
        <v>#REF!</v>
      </c>
      <c r="E31" s="234" t="e">
        <f t="shared" si="2"/>
        <v>#REF!</v>
      </c>
      <c r="F31" s="240">
        <v>366606</v>
      </c>
      <c r="G31" s="234" t="e">
        <f t="shared" si="3"/>
        <v>#REF!</v>
      </c>
      <c r="H31" s="234" t="s">
        <v>252</v>
      </c>
      <c r="I31" s="234"/>
      <c r="J31" s="170"/>
      <c r="K31" s="171"/>
      <c r="L31" s="171"/>
      <c r="M31" s="100"/>
    </row>
    <row r="32" spans="1:13">
      <c r="A32" s="238" t="s">
        <v>303</v>
      </c>
      <c r="B32" s="235" t="e">
        <f t="shared" si="0"/>
        <v>#REF!</v>
      </c>
      <c r="C32" s="235">
        <v>40642</v>
      </c>
      <c r="D32" s="236" t="e">
        <f t="shared" si="1"/>
        <v>#REF!</v>
      </c>
      <c r="E32" s="234" t="e">
        <f t="shared" si="2"/>
        <v>#REF!</v>
      </c>
      <c r="F32" s="237">
        <v>313690</v>
      </c>
      <c r="G32" s="234" t="e">
        <f t="shared" si="3"/>
        <v>#REF!</v>
      </c>
      <c r="H32" s="234" t="s">
        <v>365</v>
      </c>
      <c r="I32" s="234"/>
      <c r="J32" s="116"/>
      <c r="K32" s="172"/>
      <c r="L32" s="172"/>
      <c r="M32" s="95"/>
    </row>
    <row r="33" spans="1:13">
      <c r="A33" s="238" t="s">
        <v>304</v>
      </c>
      <c r="B33" s="235" t="e">
        <f t="shared" ref="B33:B64" si="4">ONGOINGDATE</f>
        <v>#REF!</v>
      </c>
      <c r="C33" s="235">
        <v>40724</v>
      </c>
      <c r="D33" s="236" t="e">
        <f t="shared" ref="D33:D50" si="5">(YEAR(C33)-YEAR(B33))*12+MONTH(C33)-MONTH(B33)</f>
        <v>#REF!</v>
      </c>
      <c r="E33" s="234" t="e">
        <f t="shared" ref="E33:E64" si="6">D33/12</f>
        <v>#REF!</v>
      </c>
      <c r="F33" s="237">
        <v>377471</v>
      </c>
      <c r="G33" s="234" t="e">
        <f t="shared" si="3"/>
        <v>#REF!</v>
      </c>
      <c r="H33" s="234" t="s">
        <v>365</v>
      </c>
      <c r="I33" s="234"/>
      <c r="J33" s="117"/>
      <c r="K33" s="167"/>
      <c r="L33" s="167"/>
    </row>
    <row r="34" spans="1:13">
      <c r="A34" s="234" t="s">
        <v>333</v>
      </c>
      <c r="B34" s="235" t="e">
        <f t="shared" si="4"/>
        <v>#REF!</v>
      </c>
      <c r="C34" s="235">
        <v>42160</v>
      </c>
      <c r="D34" s="236" t="e">
        <f t="shared" si="5"/>
        <v>#REF!</v>
      </c>
      <c r="E34" s="234" t="e">
        <f t="shared" si="6"/>
        <v>#REF!</v>
      </c>
      <c r="F34" s="237">
        <v>330886</v>
      </c>
      <c r="G34" s="234" t="e">
        <f t="shared" ref="G34:G65" si="7">NETWORKDAYS(DAY(B34),DAY(C34))</f>
        <v>#REF!</v>
      </c>
      <c r="H34" s="234" t="s">
        <v>252</v>
      </c>
      <c r="I34" s="234"/>
      <c r="J34" s="117"/>
      <c r="K34" s="167"/>
      <c r="L34" s="167"/>
    </row>
    <row r="35" spans="1:13">
      <c r="A35" s="238" t="s">
        <v>305</v>
      </c>
      <c r="B35" s="235" t="e">
        <f t="shared" si="4"/>
        <v>#REF!</v>
      </c>
      <c r="C35" s="235">
        <v>39964</v>
      </c>
      <c r="D35" s="236" t="e">
        <f t="shared" si="5"/>
        <v>#REF!</v>
      </c>
      <c r="E35" s="234" t="e">
        <f t="shared" si="6"/>
        <v>#REF!</v>
      </c>
      <c r="F35" s="237">
        <v>485026</v>
      </c>
      <c r="G35" s="234" t="e">
        <f t="shared" si="7"/>
        <v>#REF!</v>
      </c>
      <c r="H35" s="234" t="s">
        <v>252</v>
      </c>
      <c r="I35" s="234"/>
      <c r="J35" s="117"/>
      <c r="K35" s="167"/>
      <c r="L35" s="167"/>
    </row>
    <row r="36" spans="1:13">
      <c r="A36" s="234" t="s">
        <v>548</v>
      </c>
      <c r="B36" s="235" t="e">
        <f t="shared" si="4"/>
        <v>#REF!</v>
      </c>
      <c r="C36" s="235">
        <v>42337</v>
      </c>
      <c r="D36" s="236" t="e">
        <f t="shared" si="5"/>
        <v>#REF!</v>
      </c>
      <c r="E36" s="234" t="e">
        <f t="shared" si="6"/>
        <v>#REF!</v>
      </c>
      <c r="F36" s="237">
        <v>1345</v>
      </c>
      <c r="G36" s="234" t="e">
        <f t="shared" si="7"/>
        <v>#REF!</v>
      </c>
      <c r="H36" s="234" t="s">
        <v>252</v>
      </c>
      <c r="I36" s="234"/>
      <c r="J36" s="117"/>
      <c r="K36" s="167"/>
      <c r="L36" s="167"/>
    </row>
    <row r="37" spans="1:13">
      <c r="A37" s="239" t="s">
        <v>170</v>
      </c>
      <c r="B37" s="235" t="e">
        <f t="shared" si="4"/>
        <v>#REF!</v>
      </c>
      <c r="C37" s="235">
        <v>40379</v>
      </c>
      <c r="D37" s="236" t="e">
        <f t="shared" si="5"/>
        <v>#REF!</v>
      </c>
      <c r="E37" s="234" t="e">
        <f t="shared" si="6"/>
        <v>#REF!</v>
      </c>
      <c r="F37" s="237">
        <v>330904</v>
      </c>
      <c r="G37" s="234" t="e">
        <f t="shared" si="7"/>
        <v>#REF!</v>
      </c>
      <c r="H37" s="234" t="s">
        <v>252</v>
      </c>
      <c r="I37" s="234"/>
      <c r="J37" s="117"/>
      <c r="K37" s="167"/>
      <c r="L37" s="167"/>
    </row>
    <row r="38" spans="1:13">
      <c r="A38" s="234" t="s">
        <v>171</v>
      </c>
      <c r="B38" s="235" t="e">
        <f t="shared" si="4"/>
        <v>#REF!</v>
      </c>
      <c r="C38" s="235">
        <v>41820</v>
      </c>
      <c r="D38" s="236" t="e">
        <f t="shared" si="5"/>
        <v>#REF!</v>
      </c>
      <c r="E38" s="234" t="e">
        <f t="shared" si="6"/>
        <v>#REF!</v>
      </c>
      <c r="F38" s="237">
        <v>600898</v>
      </c>
      <c r="G38" s="234" t="e">
        <f t="shared" si="7"/>
        <v>#REF!</v>
      </c>
      <c r="H38" s="234" t="s">
        <v>365</v>
      </c>
      <c r="I38" s="234"/>
      <c r="J38" s="173"/>
      <c r="K38" s="174"/>
      <c r="L38" s="174"/>
      <c r="M38" s="101"/>
    </row>
    <row r="39" spans="1:13">
      <c r="A39" s="234" t="s">
        <v>172</v>
      </c>
      <c r="B39" s="235" t="e">
        <f t="shared" si="4"/>
        <v>#REF!</v>
      </c>
      <c r="C39" s="235">
        <v>40787</v>
      </c>
      <c r="D39" s="236" t="e">
        <f t="shared" si="5"/>
        <v>#REF!</v>
      </c>
      <c r="E39" s="234" t="e">
        <f t="shared" si="6"/>
        <v>#REF!</v>
      </c>
      <c r="F39" s="237">
        <v>187107</v>
      </c>
      <c r="G39" s="234" t="e">
        <f t="shared" si="7"/>
        <v>#REF!</v>
      </c>
      <c r="H39" s="234" t="s">
        <v>252</v>
      </c>
      <c r="I39" s="234"/>
      <c r="J39" s="117"/>
      <c r="K39" s="167"/>
      <c r="L39" s="167"/>
    </row>
    <row r="40" spans="1:13">
      <c r="A40" s="234" t="s">
        <v>173</v>
      </c>
      <c r="B40" s="235" t="e">
        <f t="shared" si="4"/>
        <v>#REF!</v>
      </c>
      <c r="C40" s="235">
        <v>40145</v>
      </c>
      <c r="D40" s="236" t="e">
        <f t="shared" si="5"/>
        <v>#REF!</v>
      </c>
      <c r="E40" s="234" t="e">
        <f t="shared" si="6"/>
        <v>#REF!</v>
      </c>
      <c r="F40" s="237">
        <v>822000</v>
      </c>
      <c r="G40" s="234" t="e">
        <f t="shared" si="7"/>
        <v>#REF!</v>
      </c>
      <c r="H40" s="234" t="s">
        <v>252</v>
      </c>
      <c r="I40" s="234"/>
      <c r="J40" s="117"/>
      <c r="K40" s="167"/>
      <c r="L40" s="167"/>
    </row>
    <row r="41" spans="1:13">
      <c r="A41" s="234" t="s">
        <v>826</v>
      </c>
      <c r="B41" s="235" t="e">
        <f t="shared" si="4"/>
        <v>#REF!</v>
      </c>
      <c r="C41" s="235">
        <v>40510</v>
      </c>
      <c r="D41" s="236" t="e">
        <f t="shared" si="5"/>
        <v>#REF!</v>
      </c>
      <c r="E41" s="234" t="e">
        <f t="shared" si="6"/>
        <v>#REF!</v>
      </c>
      <c r="F41" s="237">
        <v>822000</v>
      </c>
      <c r="G41" s="234" t="e">
        <f t="shared" si="7"/>
        <v>#REF!</v>
      </c>
      <c r="H41" s="234" t="s">
        <v>252</v>
      </c>
      <c r="I41" s="234"/>
      <c r="J41" s="117"/>
      <c r="K41" s="167"/>
      <c r="L41" s="167"/>
    </row>
    <row r="42" spans="1:13">
      <c r="A42" s="239" t="s">
        <v>979</v>
      </c>
      <c r="B42" s="235" t="e">
        <f t="shared" si="4"/>
        <v>#REF!</v>
      </c>
      <c r="C42" s="235">
        <v>40532</v>
      </c>
      <c r="D42" s="236" t="e">
        <f t="shared" si="5"/>
        <v>#REF!</v>
      </c>
      <c r="E42" s="234" t="e">
        <f t="shared" si="6"/>
        <v>#REF!</v>
      </c>
      <c r="F42" s="237">
        <v>370587</v>
      </c>
      <c r="G42" s="234" t="e">
        <f t="shared" si="7"/>
        <v>#REF!</v>
      </c>
      <c r="H42" s="234" t="s">
        <v>252</v>
      </c>
      <c r="I42" s="234"/>
      <c r="J42" s="117"/>
      <c r="K42" s="167"/>
      <c r="L42" s="167"/>
    </row>
    <row r="43" spans="1:13">
      <c r="A43" s="238" t="s">
        <v>306</v>
      </c>
      <c r="B43" s="235" t="e">
        <f t="shared" si="4"/>
        <v>#REF!</v>
      </c>
      <c r="C43" s="235">
        <v>42004</v>
      </c>
      <c r="D43" s="236" t="e">
        <f t="shared" si="5"/>
        <v>#REF!</v>
      </c>
      <c r="E43" s="234" t="e">
        <f t="shared" si="6"/>
        <v>#REF!</v>
      </c>
      <c r="F43" s="237">
        <v>317683</v>
      </c>
      <c r="G43" s="234" t="e">
        <f t="shared" si="7"/>
        <v>#REF!</v>
      </c>
      <c r="H43" s="234" t="s">
        <v>252</v>
      </c>
      <c r="I43" s="234"/>
      <c r="J43" s="117"/>
      <c r="K43" s="167"/>
      <c r="L43" s="167"/>
    </row>
    <row r="44" spans="1:13">
      <c r="A44" s="234" t="s">
        <v>210</v>
      </c>
      <c r="B44" s="235" t="e">
        <f t="shared" si="4"/>
        <v>#REF!</v>
      </c>
      <c r="C44" s="235">
        <v>42830</v>
      </c>
      <c r="D44" s="236" t="e">
        <f t="shared" si="5"/>
        <v>#REF!</v>
      </c>
      <c r="E44" s="234" t="e">
        <f t="shared" si="6"/>
        <v>#REF!</v>
      </c>
      <c r="F44" s="237">
        <v>368528</v>
      </c>
      <c r="G44" s="234" t="e">
        <f t="shared" si="7"/>
        <v>#REF!</v>
      </c>
      <c r="H44" s="234" t="s">
        <v>252</v>
      </c>
      <c r="I44" s="234"/>
      <c r="J44" s="117"/>
      <c r="K44" s="167"/>
      <c r="L44" s="167"/>
    </row>
    <row r="45" spans="1:13">
      <c r="A45" s="238" t="s">
        <v>307</v>
      </c>
      <c r="B45" s="235" t="e">
        <f t="shared" si="4"/>
        <v>#REF!</v>
      </c>
      <c r="C45" s="235">
        <v>40574</v>
      </c>
      <c r="D45" s="236" t="e">
        <f t="shared" si="5"/>
        <v>#REF!</v>
      </c>
      <c r="E45" s="234" t="e">
        <f t="shared" si="6"/>
        <v>#REF!</v>
      </c>
      <c r="F45" s="237">
        <v>740105</v>
      </c>
      <c r="G45" s="234" t="e">
        <f t="shared" si="7"/>
        <v>#REF!</v>
      </c>
      <c r="H45" s="234" t="s">
        <v>252</v>
      </c>
      <c r="I45" s="234"/>
      <c r="J45" s="117"/>
      <c r="K45" s="167"/>
      <c r="L45" s="167"/>
    </row>
    <row r="46" spans="1:13">
      <c r="A46" s="234" t="s">
        <v>211</v>
      </c>
      <c r="B46" s="235" t="e">
        <f t="shared" si="4"/>
        <v>#REF!</v>
      </c>
      <c r="C46" s="235">
        <v>40178</v>
      </c>
      <c r="D46" s="236" t="e">
        <f t="shared" si="5"/>
        <v>#REF!</v>
      </c>
      <c r="E46" s="234" t="e">
        <f t="shared" si="6"/>
        <v>#REF!</v>
      </c>
      <c r="F46" s="237">
        <v>316111</v>
      </c>
      <c r="G46" s="234" t="e">
        <f t="shared" si="7"/>
        <v>#REF!</v>
      </c>
      <c r="H46" s="234" t="s">
        <v>252</v>
      </c>
      <c r="I46" s="234"/>
      <c r="J46" s="117"/>
      <c r="K46" s="167"/>
      <c r="L46" s="167"/>
    </row>
    <row r="47" spans="1:13" s="102" customFormat="1" ht="12.75">
      <c r="A47" s="234" t="s">
        <v>481</v>
      </c>
      <c r="B47" s="235" t="e">
        <f t="shared" si="4"/>
        <v>#REF!</v>
      </c>
      <c r="C47" s="235">
        <v>40070</v>
      </c>
      <c r="D47" s="236" t="e">
        <f t="shared" si="5"/>
        <v>#REF!</v>
      </c>
      <c r="E47" s="234" t="e">
        <f t="shared" si="6"/>
        <v>#REF!</v>
      </c>
      <c r="F47" s="237">
        <v>314023</v>
      </c>
      <c r="G47" s="234" t="e">
        <f t="shared" si="7"/>
        <v>#REF!</v>
      </c>
      <c r="H47" s="234" t="s">
        <v>365</v>
      </c>
      <c r="I47" s="241"/>
      <c r="J47" s="175"/>
      <c r="K47" s="176"/>
      <c r="L47" s="176"/>
    </row>
    <row r="48" spans="1:13" s="102" customFormat="1" ht="12.75">
      <c r="A48" s="242" t="s">
        <v>482</v>
      </c>
      <c r="B48" s="243" t="e">
        <f t="shared" si="4"/>
        <v>#REF!</v>
      </c>
      <c r="C48" s="243">
        <v>41728</v>
      </c>
      <c r="D48" s="244" t="e">
        <f t="shared" si="5"/>
        <v>#REF!</v>
      </c>
      <c r="E48" s="242" t="e">
        <f t="shared" si="6"/>
        <v>#REF!</v>
      </c>
      <c r="F48" s="245">
        <v>374100</v>
      </c>
      <c r="G48" s="242" t="e">
        <f t="shared" si="7"/>
        <v>#REF!</v>
      </c>
      <c r="H48" s="242" t="s">
        <v>365</v>
      </c>
      <c r="I48" s="241"/>
      <c r="J48" s="175"/>
      <c r="K48" s="176"/>
      <c r="L48" s="176"/>
    </row>
    <row r="49" spans="1:12" s="102" customFormat="1" ht="12.75">
      <c r="A49" s="246" t="s">
        <v>308</v>
      </c>
      <c r="B49" s="243" t="e">
        <f t="shared" si="4"/>
        <v>#REF!</v>
      </c>
      <c r="C49" s="243">
        <v>41394</v>
      </c>
      <c r="D49" s="244" t="e">
        <f t="shared" si="5"/>
        <v>#REF!</v>
      </c>
      <c r="E49" s="242" t="e">
        <f t="shared" si="6"/>
        <v>#REF!</v>
      </c>
      <c r="F49" s="245">
        <v>361675</v>
      </c>
      <c r="G49" s="242" t="e">
        <f t="shared" si="7"/>
        <v>#REF!</v>
      </c>
      <c r="H49" s="242" t="s">
        <v>252</v>
      </c>
      <c r="I49" s="241"/>
      <c r="J49" s="175"/>
      <c r="K49" s="176"/>
      <c r="L49" s="176"/>
    </row>
    <row r="50" spans="1:12" s="102" customFormat="1" ht="12.75">
      <c r="A50" s="242" t="s">
        <v>549</v>
      </c>
      <c r="B50" s="243" t="e">
        <f t="shared" si="4"/>
        <v>#REF!</v>
      </c>
      <c r="C50" s="243">
        <v>42337</v>
      </c>
      <c r="D50" s="244" t="e">
        <f t="shared" si="5"/>
        <v>#REF!</v>
      </c>
      <c r="E50" s="242" t="e">
        <f t="shared" si="6"/>
        <v>#REF!</v>
      </c>
      <c r="F50" s="245">
        <v>368872</v>
      </c>
      <c r="G50" s="242" t="e">
        <f t="shared" si="7"/>
        <v>#REF!</v>
      </c>
      <c r="H50" s="242" t="s">
        <v>252</v>
      </c>
      <c r="I50" s="241"/>
      <c r="J50" s="175"/>
      <c r="K50" s="176"/>
      <c r="L50" s="176"/>
    </row>
    <row r="51" spans="1:12" s="102" customFormat="1" ht="12.75">
      <c r="A51" s="242" t="s">
        <v>853</v>
      </c>
      <c r="B51" s="243" t="e">
        <f t="shared" si="4"/>
        <v>#REF!</v>
      </c>
      <c r="C51" s="243">
        <v>0</v>
      </c>
      <c r="D51" s="244">
        <v>60</v>
      </c>
      <c r="E51" s="242">
        <f t="shared" si="6"/>
        <v>5</v>
      </c>
      <c r="F51" s="245">
        <v>994106</v>
      </c>
      <c r="G51" s="242" t="e">
        <f t="shared" si="7"/>
        <v>#REF!</v>
      </c>
      <c r="H51" s="242" t="s">
        <v>252</v>
      </c>
      <c r="I51" s="241"/>
      <c r="J51" s="175"/>
      <c r="K51" s="176"/>
      <c r="L51" s="176"/>
    </row>
    <row r="52" spans="1:12" s="102" customFormat="1" ht="12.75">
      <c r="A52" s="246" t="s">
        <v>187</v>
      </c>
      <c r="B52" s="243" t="e">
        <f t="shared" si="4"/>
        <v>#REF!</v>
      </c>
      <c r="C52" s="243">
        <v>0</v>
      </c>
      <c r="D52" s="244">
        <v>60</v>
      </c>
      <c r="E52" s="242">
        <f t="shared" si="6"/>
        <v>5</v>
      </c>
      <c r="F52" s="245">
        <v>992419</v>
      </c>
      <c r="G52" s="242" t="e">
        <f t="shared" si="7"/>
        <v>#REF!</v>
      </c>
      <c r="H52" s="242" t="s">
        <v>252</v>
      </c>
      <c r="I52" s="242"/>
      <c r="J52" s="117"/>
      <c r="K52" s="167"/>
      <c r="L52" s="176"/>
    </row>
    <row r="53" spans="1:12" s="102" customFormat="1" ht="12.75">
      <c r="A53" s="246" t="s">
        <v>309</v>
      </c>
      <c r="B53" s="243" t="e">
        <f t="shared" si="4"/>
        <v>#REF!</v>
      </c>
      <c r="C53" s="243">
        <v>0</v>
      </c>
      <c r="D53" s="244">
        <v>60</v>
      </c>
      <c r="E53" s="242">
        <f t="shared" si="6"/>
        <v>5</v>
      </c>
      <c r="F53" s="245">
        <v>992397</v>
      </c>
      <c r="G53" s="242" t="e">
        <f t="shared" si="7"/>
        <v>#REF!</v>
      </c>
      <c r="H53" s="242" t="s">
        <v>252</v>
      </c>
      <c r="I53" s="242"/>
      <c r="J53" s="117"/>
      <c r="K53" s="167"/>
      <c r="L53" s="176"/>
    </row>
    <row r="54" spans="1:12" s="102" customFormat="1" ht="12.75">
      <c r="A54" s="246" t="s">
        <v>310</v>
      </c>
      <c r="B54" s="243" t="e">
        <f t="shared" si="4"/>
        <v>#REF!</v>
      </c>
      <c r="C54" s="243">
        <v>0</v>
      </c>
      <c r="D54" s="244">
        <v>60</v>
      </c>
      <c r="E54" s="242">
        <f t="shared" si="6"/>
        <v>5</v>
      </c>
      <c r="F54" s="245">
        <v>992417</v>
      </c>
      <c r="G54" s="242" t="e">
        <f t="shared" si="7"/>
        <v>#REF!</v>
      </c>
      <c r="H54" s="242" t="s">
        <v>252</v>
      </c>
      <c r="I54" s="241"/>
      <c r="J54" s="117"/>
      <c r="K54" s="167"/>
      <c r="L54" s="176"/>
    </row>
    <row r="55" spans="1:12" s="102" customFormat="1" ht="12.75">
      <c r="A55" s="246" t="s">
        <v>311</v>
      </c>
      <c r="B55" s="243" t="e">
        <f t="shared" si="4"/>
        <v>#REF!</v>
      </c>
      <c r="C55" s="243">
        <v>0</v>
      </c>
      <c r="D55" s="244">
        <v>60</v>
      </c>
      <c r="E55" s="242">
        <f t="shared" si="6"/>
        <v>5</v>
      </c>
      <c r="F55" s="245">
        <v>992416</v>
      </c>
      <c r="G55" s="242" t="e">
        <f t="shared" si="7"/>
        <v>#REF!</v>
      </c>
      <c r="H55" s="242" t="s">
        <v>252</v>
      </c>
      <c r="I55" s="241"/>
      <c r="J55" s="117"/>
      <c r="K55" s="167"/>
      <c r="L55" s="176"/>
    </row>
    <row r="56" spans="1:12" s="102" customFormat="1" ht="12.75">
      <c r="A56" s="246" t="s">
        <v>312</v>
      </c>
      <c r="B56" s="243" t="e">
        <f t="shared" si="4"/>
        <v>#REF!</v>
      </c>
      <c r="C56" s="243">
        <v>0</v>
      </c>
      <c r="D56" s="244">
        <v>60</v>
      </c>
      <c r="E56" s="242">
        <f t="shared" si="6"/>
        <v>5</v>
      </c>
      <c r="F56" s="245">
        <v>992396</v>
      </c>
      <c r="G56" s="242" t="e">
        <f t="shared" si="7"/>
        <v>#REF!</v>
      </c>
      <c r="H56" s="242" t="s">
        <v>252</v>
      </c>
      <c r="I56" s="241"/>
      <c r="J56" s="117"/>
      <c r="K56" s="167"/>
      <c r="L56" s="176"/>
    </row>
    <row r="57" spans="1:12" s="102" customFormat="1" ht="12.75">
      <c r="A57" s="246" t="s">
        <v>313</v>
      </c>
      <c r="B57" s="243" t="e">
        <f t="shared" si="4"/>
        <v>#REF!</v>
      </c>
      <c r="C57" s="243">
        <v>0</v>
      </c>
      <c r="D57" s="244">
        <v>60</v>
      </c>
      <c r="E57" s="242">
        <f t="shared" si="6"/>
        <v>5</v>
      </c>
      <c r="F57" s="245">
        <v>992379</v>
      </c>
      <c r="G57" s="242" t="e">
        <f t="shared" si="7"/>
        <v>#REF!</v>
      </c>
      <c r="H57" s="242" t="s">
        <v>252</v>
      </c>
      <c r="I57" s="241"/>
      <c r="J57" s="117"/>
      <c r="K57" s="167"/>
      <c r="L57" s="176"/>
    </row>
    <row r="58" spans="1:12" s="102" customFormat="1" ht="12.75">
      <c r="A58" s="246" t="s">
        <v>314</v>
      </c>
      <c r="B58" s="243" t="e">
        <f t="shared" si="4"/>
        <v>#REF!</v>
      </c>
      <c r="C58" s="243">
        <v>0</v>
      </c>
      <c r="D58" s="244">
        <v>60</v>
      </c>
      <c r="E58" s="242">
        <f t="shared" si="6"/>
        <v>5</v>
      </c>
      <c r="F58" s="245">
        <v>992409</v>
      </c>
      <c r="G58" s="242" t="e">
        <f t="shared" si="7"/>
        <v>#REF!</v>
      </c>
      <c r="H58" s="242" t="s">
        <v>252</v>
      </c>
      <c r="I58" s="241"/>
      <c r="J58" s="177"/>
      <c r="K58" s="178"/>
      <c r="L58" s="176"/>
    </row>
    <row r="59" spans="1:12" s="102" customFormat="1" ht="12.75">
      <c r="A59" s="246" t="s">
        <v>315</v>
      </c>
      <c r="B59" s="243" t="e">
        <f t="shared" si="4"/>
        <v>#REF!</v>
      </c>
      <c r="C59" s="243">
        <v>0</v>
      </c>
      <c r="D59" s="244">
        <v>60</v>
      </c>
      <c r="E59" s="242">
        <f t="shared" si="6"/>
        <v>5</v>
      </c>
      <c r="F59" s="245">
        <v>992403</v>
      </c>
      <c r="G59" s="242" t="e">
        <f t="shared" si="7"/>
        <v>#REF!</v>
      </c>
      <c r="H59" s="242" t="s">
        <v>252</v>
      </c>
      <c r="I59" s="241"/>
      <c r="J59" s="177"/>
      <c r="K59" s="178"/>
      <c r="L59" s="176"/>
    </row>
    <row r="60" spans="1:12" s="102" customFormat="1" ht="12.75">
      <c r="A60" s="246" t="s">
        <v>316</v>
      </c>
      <c r="B60" s="243" t="e">
        <f t="shared" si="4"/>
        <v>#REF!</v>
      </c>
      <c r="C60" s="243">
        <v>0</v>
      </c>
      <c r="D60" s="244">
        <v>60</v>
      </c>
      <c r="E60" s="242">
        <f t="shared" si="6"/>
        <v>5</v>
      </c>
      <c r="F60" s="245">
        <v>992413</v>
      </c>
      <c r="G60" s="242" t="e">
        <f t="shared" si="7"/>
        <v>#REF!</v>
      </c>
      <c r="H60" s="242" t="s">
        <v>252</v>
      </c>
      <c r="I60" s="241"/>
      <c r="J60" s="177"/>
      <c r="K60" s="178"/>
      <c r="L60" s="176"/>
    </row>
    <row r="61" spans="1:12" s="102" customFormat="1" ht="12.75">
      <c r="A61" s="246" t="s">
        <v>317</v>
      </c>
      <c r="B61" s="243" t="e">
        <f t="shared" si="4"/>
        <v>#REF!</v>
      </c>
      <c r="C61" s="243">
        <v>0</v>
      </c>
      <c r="D61" s="244">
        <v>60</v>
      </c>
      <c r="E61" s="242">
        <f t="shared" si="6"/>
        <v>5</v>
      </c>
      <c r="F61" s="245">
        <v>992411</v>
      </c>
      <c r="G61" s="242" t="e">
        <f t="shared" si="7"/>
        <v>#REF!</v>
      </c>
      <c r="H61" s="242" t="s">
        <v>252</v>
      </c>
      <c r="I61" s="241"/>
      <c r="J61" s="177"/>
      <c r="K61" s="178"/>
      <c r="L61" s="176"/>
    </row>
    <row r="62" spans="1:12">
      <c r="A62" s="246" t="s">
        <v>318</v>
      </c>
      <c r="B62" s="243" t="e">
        <f t="shared" si="4"/>
        <v>#REF!</v>
      </c>
      <c r="C62" s="243">
        <v>0</v>
      </c>
      <c r="D62" s="244">
        <v>60</v>
      </c>
      <c r="E62" s="242">
        <f t="shared" si="6"/>
        <v>5</v>
      </c>
      <c r="F62" s="245">
        <v>992410</v>
      </c>
      <c r="G62" s="242" t="e">
        <f t="shared" si="7"/>
        <v>#REF!</v>
      </c>
      <c r="H62" s="242" t="s">
        <v>252</v>
      </c>
      <c r="I62" s="242"/>
      <c r="J62" s="117"/>
      <c r="K62" s="167"/>
      <c r="L62" s="167"/>
    </row>
    <row r="63" spans="1:12">
      <c r="A63" s="246" t="s">
        <v>319</v>
      </c>
      <c r="B63" s="243" t="e">
        <f t="shared" si="4"/>
        <v>#REF!</v>
      </c>
      <c r="C63" s="243">
        <v>0</v>
      </c>
      <c r="D63" s="244">
        <v>60</v>
      </c>
      <c r="E63" s="242">
        <f t="shared" si="6"/>
        <v>5</v>
      </c>
      <c r="F63" s="245">
        <v>992418</v>
      </c>
      <c r="G63" s="242" t="e">
        <f t="shared" si="7"/>
        <v>#REF!</v>
      </c>
      <c r="H63" s="242" t="s">
        <v>252</v>
      </c>
      <c r="I63" s="242"/>
      <c r="J63" s="117"/>
      <c r="K63" s="167"/>
      <c r="L63" s="167"/>
    </row>
    <row r="64" spans="1:12">
      <c r="A64" s="246" t="s">
        <v>320</v>
      </c>
      <c r="B64" s="243" t="e">
        <f t="shared" si="4"/>
        <v>#REF!</v>
      </c>
      <c r="C64" s="243">
        <v>0</v>
      </c>
      <c r="D64" s="244">
        <v>60</v>
      </c>
      <c r="E64" s="242">
        <f t="shared" si="6"/>
        <v>5</v>
      </c>
      <c r="F64" s="245">
        <v>992402</v>
      </c>
      <c r="G64" s="242" t="e">
        <f t="shared" si="7"/>
        <v>#REF!</v>
      </c>
      <c r="H64" s="242" t="s">
        <v>252</v>
      </c>
      <c r="I64" s="242"/>
      <c r="J64" s="117"/>
      <c r="K64" s="167"/>
      <c r="L64" s="167"/>
    </row>
    <row r="65" spans="1:12">
      <c r="A65" s="246" t="s">
        <v>321</v>
      </c>
      <c r="B65" s="243" t="e">
        <f t="shared" ref="B65:B96" si="8">ONGOINGDATE</f>
        <v>#REF!</v>
      </c>
      <c r="C65" s="243">
        <v>0</v>
      </c>
      <c r="D65" s="244">
        <v>60</v>
      </c>
      <c r="E65" s="242">
        <f t="shared" ref="E65:E96" si="9">D65/12</f>
        <v>5</v>
      </c>
      <c r="F65" s="245">
        <v>992401</v>
      </c>
      <c r="G65" s="242" t="e">
        <f t="shared" si="7"/>
        <v>#REF!</v>
      </c>
      <c r="H65" s="242" t="s">
        <v>252</v>
      </c>
      <c r="I65" s="242"/>
      <c r="J65" s="117"/>
      <c r="K65" s="167"/>
      <c r="L65" s="167"/>
    </row>
    <row r="66" spans="1:12">
      <c r="A66" s="246" t="s">
        <v>322</v>
      </c>
      <c r="B66" s="243" t="e">
        <f t="shared" si="8"/>
        <v>#REF!</v>
      </c>
      <c r="C66" s="243">
        <v>0</v>
      </c>
      <c r="D66" s="244">
        <v>60</v>
      </c>
      <c r="E66" s="242">
        <f t="shared" si="9"/>
        <v>5</v>
      </c>
      <c r="F66" s="245">
        <v>992414</v>
      </c>
      <c r="G66" s="242" t="e">
        <f t="shared" ref="G66:G81" si="10">NETWORKDAYS(DAY(B66),DAY(C66))</f>
        <v>#REF!</v>
      </c>
      <c r="H66" s="242" t="s">
        <v>252</v>
      </c>
      <c r="I66" s="242"/>
      <c r="J66" s="117"/>
      <c r="K66" s="167"/>
      <c r="L66" s="167"/>
    </row>
    <row r="67" spans="1:12">
      <c r="A67" s="246" t="s">
        <v>323</v>
      </c>
      <c r="B67" s="243" t="e">
        <f t="shared" si="8"/>
        <v>#REF!</v>
      </c>
      <c r="C67" s="243">
        <v>0</v>
      </c>
      <c r="D67" s="244">
        <v>60</v>
      </c>
      <c r="E67" s="242">
        <f t="shared" si="9"/>
        <v>5</v>
      </c>
      <c r="F67" s="245">
        <v>992420</v>
      </c>
      <c r="G67" s="242" t="e">
        <f t="shared" si="10"/>
        <v>#REF!</v>
      </c>
      <c r="H67" s="242" t="s">
        <v>252</v>
      </c>
      <c r="I67" s="242"/>
      <c r="J67" s="117"/>
      <c r="K67" s="167"/>
      <c r="L67" s="167"/>
    </row>
    <row r="68" spans="1:12">
      <c r="A68" s="246" t="s">
        <v>324</v>
      </c>
      <c r="B68" s="243" t="e">
        <f t="shared" si="8"/>
        <v>#REF!</v>
      </c>
      <c r="C68" s="243">
        <v>0</v>
      </c>
      <c r="D68" s="244">
        <v>60</v>
      </c>
      <c r="E68" s="242">
        <f t="shared" si="9"/>
        <v>5</v>
      </c>
      <c r="F68" s="245">
        <v>992412</v>
      </c>
      <c r="G68" s="242" t="e">
        <f t="shared" si="10"/>
        <v>#REF!</v>
      </c>
      <c r="H68" s="242" t="s">
        <v>252</v>
      </c>
      <c r="I68" s="242"/>
      <c r="J68" s="117"/>
      <c r="K68" s="167"/>
      <c r="L68" s="167"/>
    </row>
    <row r="69" spans="1:12">
      <c r="A69" s="242" t="s">
        <v>468</v>
      </c>
      <c r="B69" s="243" t="e">
        <f t="shared" si="8"/>
        <v>#REF!</v>
      </c>
      <c r="C69" s="243">
        <v>39902</v>
      </c>
      <c r="D69" s="244" t="e">
        <f t="shared" ref="D69:D109" si="11">(YEAR(C69)-YEAR(B69))*12+MONTH(C69)-MONTH(B69)</f>
        <v>#REF!</v>
      </c>
      <c r="E69" s="242" t="e">
        <f t="shared" si="9"/>
        <v>#REF!</v>
      </c>
      <c r="F69" s="245">
        <v>513180</v>
      </c>
      <c r="G69" s="242" t="e">
        <f t="shared" si="10"/>
        <v>#REF!</v>
      </c>
      <c r="H69" s="242" t="s">
        <v>252</v>
      </c>
      <c r="I69" s="242"/>
      <c r="J69" s="117"/>
      <c r="K69" s="167"/>
      <c r="L69" s="167"/>
    </row>
    <row r="70" spans="1:12">
      <c r="A70" s="242" t="s">
        <v>999</v>
      </c>
      <c r="B70" s="243" t="e">
        <f t="shared" si="8"/>
        <v>#REF!</v>
      </c>
      <c r="C70" s="243">
        <v>40570</v>
      </c>
      <c r="D70" s="244" t="e">
        <f t="shared" si="11"/>
        <v>#REF!</v>
      </c>
      <c r="E70" s="242" t="e">
        <f t="shared" si="9"/>
        <v>#REF!</v>
      </c>
      <c r="F70" s="245">
        <v>313992</v>
      </c>
      <c r="G70" s="242" t="e">
        <f t="shared" si="10"/>
        <v>#REF!</v>
      </c>
      <c r="H70" s="242" t="s">
        <v>252</v>
      </c>
      <c r="I70" s="242"/>
      <c r="J70" s="117"/>
      <c r="K70" s="167"/>
      <c r="L70" s="167"/>
    </row>
    <row r="71" spans="1:12">
      <c r="A71" s="242" t="s">
        <v>483</v>
      </c>
      <c r="B71" s="243" t="e">
        <f t="shared" si="8"/>
        <v>#REF!</v>
      </c>
      <c r="C71" s="243">
        <v>40080</v>
      </c>
      <c r="D71" s="244" t="e">
        <f t="shared" si="11"/>
        <v>#REF!</v>
      </c>
      <c r="E71" s="242" t="e">
        <f t="shared" si="9"/>
        <v>#REF!</v>
      </c>
      <c r="F71" s="245">
        <v>363359</v>
      </c>
      <c r="G71" s="242" t="e">
        <f t="shared" si="10"/>
        <v>#REF!</v>
      </c>
      <c r="H71" s="242" t="s">
        <v>252</v>
      </c>
      <c r="I71" s="242"/>
      <c r="J71" s="117"/>
      <c r="K71" s="167"/>
      <c r="L71" s="167"/>
    </row>
    <row r="72" spans="1:12">
      <c r="A72" s="242" t="s">
        <v>1102</v>
      </c>
      <c r="B72" s="243" t="e">
        <f t="shared" si="8"/>
        <v>#REF!</v>
      </c>
      <c r="C72" s="243">
        <v>40077</v>
      </c>
      <c r="D72" s="244" t="e">
        <f t="shared" si="11"/>
        <v>#REF!</v>
      </c>
      <c r="E72" s="242" t="e">
        <f t="shared" si="9"/>
        <v>#REF!</v>
      </c>
      <c r="F72" s="245">
        <v>367223</v>
      </c>
      <c r="G72" s="242" t="e">
        <f t="shared" si="10"/>
        <v>#REF!</v>
      </c>
      <c r="H72" s="242" t="s">
        <v>252</v>
      </c>
      <c r="I72" s="242"/>
      <c r="J72" s="117"/>
      <c r="K72" s="167"/>
      <c r="L72" s="167"/>
    </row>
    <row r="73" spans="1:12">
      <c r="A73" s="242" t="s">
        <v>762</v>
      </c>
      <c r="B73" s="243" t="e">
        <f t="shared" si="8"/>
        <v>#REF!</v>
      </c>
      <c r="C73" s="243">
        <v>40178</v>
      </c>
      <c r="D73" s="244" t="e">
        <f t="shared" si="11"/>
        <v>#REF!</v>
      </c>
      <c r="E73" s="242" t="e">
        <f t="shared" si="9"/>
        <v>#REF!</v>
      </c>
      <c r="F73" s="245">
        <v>999999</v>
      </c>
      <c r="G73" s="242" t="e">
        <f t="shared" si="10"/>
        <v>#REF!</v>
      </c>
      <c r="H73" s="242" t="s">
        <v>252</v>
      </c>
      <c r="I73" s="242"/>
      <c r="J73" s="117"/>
      <c r="K73" s="167"/>
      <c r="L73" s="167"/>
    </row>
    <row r="74" spans="1:12">
      <c r="A74" s="242" t="s">
        <v>852</v>
      </c>
      <c r="B74" s="243" t="e">
        <f t="shared" si="8"/>
        <v>#REF!</v>
      </c>
      <c r="C74" s="243">
        <v>39750</v>
      </c>
      <c r="D74" s="244" t="e">
        <f t="shared" si="11"/>
        <v>#REF!</v>
      </c>
      <c r="E74" s="242" t="e">
        <f t="shared" si="9"/>
        <v>#REF!</v>
      </c>
      <c r="F74" s="245">
        <v>366800</v>
      </c>
      <c r="G74" s="242" t="e">
        <f t="shared" si="10"/>
        <v>#REF!</v>
      </c>
      <c r="H74" s="242" t="s">
        <v>365</v>
      </c>
      <c r="I74" s="242"/>
      <c r="J74" s="117"/>
      <c r="K74" s="167"/>
      <c r="L74" s="167"/>
    </row>
    <row r="75" spans="1:12">
      <c r="A75" s="246" t="s">
        <v>325</v>
      </c>
      <c r="B75" s="243" t="e">
        <f t="shared" si="8"/>
        <v>#REF!</v>
      </c>
      <c r="C75" s="243">
        <v>41274</v>
      </c>
      <c r="D75" s="244" t="e">
        <f t="shared" si="11"/>
        <v>#REF!</v>
      </c>
      <c r="E75" s="242" t="e">
        <f t="shared" si="9"/>
        <v>#REF!</v>
      </c>
      <c r="F75" s="245">
        <v>370950</v>
      </c>
      <c r="G75" s="242" t="e">
        <f t="shared" si="10"/>
        <v>#REF!</v>
      </c>
      <c r="H75" s="242" t="s">
        <v>252</v>
      </c>
      <c r="I75" s="242"/>
      <c r="J75" s="117"/>
      <c r="K75" s="167"/>
      <c r="L75" s="167"/>
    </row>
    <row r="76" spans="1:12">
      <c r="A76" s="246" t="s">
        <v>326</v>
      </c>
      <c r="B76" s="243" t="e">
        <f t="shared" si="8"/>
        <v>#REF!</v>
      </c>
      <c r="C76" s="243">
        <v>41455</v>
      </c>
      <c r="D76" s="244" t="e">
        <f t="shared" si="11"/>
        <v>#REF!</v>
      </c>
      <c r="E76" s="242" t="e">
        <f t="shared" si="9"/>
        <v>#REF!</v>
      </c>
      <c r="F76" s="245">
        <v>370822</v>
      </c>
      <c r="G76" s="242" t="e">
        <f t="shared" si="10"/>
        <v>#REF!</v>
      </c>
      <c r="H76" s="242" t="s">
        <v>252</v>
      </c>
      <c r="I76" s="242"/>
      <c r="J76" s="117"/>
      <c r="K76" s="167"/>
      <c r="L76" s="167"/>
    </row>
    <row r="77" spans="1:12">
      <c r="A77" s="242" t="s">
        <v>1103</v>
      </c>
      <c r="B77" s="243" t="e">
        <f t="shared" si="8"/>
        <v>#REF!</v>
      </c>
      <c r="C77" s="243">
        <v>41729</v>
      </c>
      <c r="D77" s="244" t="e">
        <f t="shared" si="11"/>
        <v>#REF!</v>
      </c>
      <c r="E77" s="242" t="e">
        <f t="shared" si="9"/>
        <v>#REF!</v>
      </c>
      <c r="F77" s="245">
        <v>319834</v>
      </c>
      <c r="G77" s="242" t="e">
        <f t="shared" si="10"/>
        <v>#REF!</v>
      </c>
      <c r="H77" s="242" t="s">
        <v>252</v>
      </c>
      <c r="I77" s="242"/>
      <c r="J77" s="117"/>
      <c r="K77" s="167"/>
      <c r="L77" s="167"/>
    </row>
    <row r="78" spans="1:12">
      <c r="A78" s="246" t="s">
        <v>327</v>
      </c>
      <c r="B78" s="243" t="e">
        <f t="shared" si="8"/>
        <v>#REF!</v>
      </c>
      <c r="C78" s="243">
        <v>40086</v>
      </c>
      <c r="D78" s="244" t="e">
        <f t="shared" si="11"/>
        <v>#REF!</v>
      </c>
      <c r="E78" s="242" t="e">
        <f t="shared" si="9"/>
        <v>#REF!</v>
      </c>
      <c r="F78" s="245">
        <v>958879</v>
      </c>
      <c r="G78" s="242" t="e">
        <f t="shared" si="10"/>
        <v>#REF!</v>
      </c>
      <c r="H78" s="242" t="s">
        <v>365</v>
      </c>
      <c r="I78" s="242"/>
      <c r="J78" s="117"/>
      <c r="K78" s="167"/>
      <c r="L78" s="167"/>
    </row>
    <row r="79" spans="1:12">
      <c r="A79" s="242" t="s">
        <v>485</v>
      </c>
      <c r="B79" s="243" t="e">
        <f t="shared" si="8"/>
        <v>#REF!</v>
      </c>
      <c r="C79" s="243">
        <v>41623</v>
      </c>
      <c r="D79" s="244" t="e">
        <f t="shared" si="11"/>
        <v>#REF!</v>
      </c>
      <c r="E79" s="242" t="e">
        <f t="shared" si="9"/>
        <v>#REF!</v>
      </c>
      <c r="F79" s="245">
        <v>317574</v>
      </c>
      <c r="G79" s="242" t="e">
        <f t="shared" si="10"/>
        <v>#REF!</v>
      </c>
      <c r="H79" s="242" t="s">
        <v>252</v>
      </c>
      <c r="I79" s="242"/>
      <c r="J79" s="117"/>
      <c r="K79" s="167"/>
      <c r="L79" s="167"/>
    </row>
    <row r="80" spans="1:12">
      <c r="A80" s="242" t="s">
        <v>12</v>
      </c>
      <c r="B80" s="243" t="e">
        <f t="shared" si="8"/>
        <v>#REF!</v>
      </c>
      <c r="C80" s="243">
        <v>40633</v>
      </c>
      <c r="D80" s="244" t="e">
        <f t="shared" si="11"/>
        <v>#REF!</v>
      </c>
      <c r="E80" s="242" t="e">
        <f t="shared" si="9"/>
        <v>#REF!</v>
      </c>
      <c r="F80" s="245">
        <v>317575</v>
      </c>
      <c r="G80" s="242" t="e">
        <f t="shared" si="10"/>
        <v>#REF!</v>
      </c>
      <c r="H80" s="242" t="s">
        <v>252</v>
      </c>
      <c r="I80" s="242"/>
      <c r="J80" s="117"/>
      <c r="K80" s="167"/>
      <c r="L80" s="167"/>
    </row>
    <row r="81" spans="1:12">
      <c r="A81" s="242" t="s">
        <v>484</v>
      </c>
      <c r="B81" s="243" t="e">
        <f t="shared" si="8"/>
        <v>#REF!</v>
      </c>
      <c r="C81" s="243">
        <v>41090</v>
      </c>
      <c r="D81" s="244" t="e">
        <f t="shared" si="11"/>
        <v>#REF!</v>
      </c>
      <c r="E81" s="242" t="e">
        <f t="shared" si="9"/>
        <v>#REF!</v>
      </c>
      <c r="F81" s="245">
        <v>372138</v>
      </c>
      <c r="G81" s="242" t="e">
        <f t="shared" si="10"/>
        <v>#REF!</v>
      </c>
      <c r="H81" s="242" t="s">
        <v>252</v>
      </c>
      <c r="I81" s="242"/>
      <c r="J81" s="117"/>
      <c r="K81" s="167"/>
      <c r="L81" s="167"/>
    </row>
    <row r="82" spans="1:12">
      <c r="A82" s="247" t="s">
        <v>789</v>
      </c>
      <c r="B82" s="243" t="e">
        <f t="shared" si="8"/>
        <v>#REF!</v>
      </c>
      <c r="C82" s="243">
        <v>40287</v>
      </c>
      <c r="D82" s="244" t="e">
        <f t="shared" si="11"/>
        <v>#REF!</v>
      </c>
      <c r="E82" s="242" t="e">
        <f t="shared" si="9"/>
        <v>#REF!</v>
      </c>
      <c r="F82" s="245">
        <v>371373</v>
      </c>
      <c r="G82" s="242">
        <v>0</v>
      </c>
      <c r="H82" s="242" t="s">
        <v>252</v>
      </c>
      <c r="I82" s="242"/>
      <c r="J82" s="117"/>
      <c r="K82" s="167"/>
      <c r="L82" s="167"/>
    </row>
    <row r="83" spans="1:12">
      <c r="A83" s="242" t="s">
        <v>165</v>
      </c>
      <c r="B83" s="243" t="e">
        <f t="shared" si="8"/>
        <v>#REF!</v>
      </c>
      <c r="C83" s="243">
        <v>40854</v>
      </c>
      <c r="D83" s="244" t="e">
        <f t="shared" si="11"/>
        <v>#REF!</v>
      </c>
      <c r="E83" s="242" t="e">
        <f t="shared" si="9"/>
        <v>#REF!</v>
      </c>
      <c r="F83" s="245">
        <v>369181</v>
      </c>
      <c r="G83" s="242" t="e">
        <f t="shared" ref="G83:G109" si="12">NETWORKDAYS(DAY(B83),DAY(C83))</f>
        <v>#REF!</v>
      </c>
      <c r="H83" s="242" t="s">
        <v>365</v>
      </c>
      <c r="I83" s="242"/>
      <c r="J83" s="117"/>
      <c r="K83" s="167"/>
      <c r="L83" s="167"/>
    </row>
    <row r="84" spans="1:12">
      <c r="A84" s="242" t="s">
        <v>126</v>
      </c>
      <c r="B84" s="243" t="e">
        <f t="shared" si="8"/>
        <v>#REF!</v>
      </c>
      <c r="C84" s="243">
        <v>40602</v>
      </c>
      <c r="D84" s="244" t="e">
        <f t="shared" si="11"/>
        <v>#REF!</v>
      </c>
      <c r="E84" s="242" t="e">
        <f t="shared" si="9"/>
        <v>#REF!</v>
      </c>
      <c r="F84" s="245">
        <v>373074</v>
      </c>
      <c r="G84" s="242" t="e">
        <f t="shared" si="12"/>
        <v>#REF!</v>
      </c>
      <c r="H84" s="242" t="s">
        <v>365</v>
      </c>
      <c r="I84" s="242"/>
      <c r="J84" s="117"/>
      <c r="K84" s="167"/>
      <c r="L84" s="167"/>
    </row>
    <row r="85" spans="1:12">
      <c r="A85" s="246" t="s">
        <v>328</v>
      </c>
      <c r="B85" s="243" t="e">
        <f t="shared" si="8"/>
        <v>#REF!</v>
      </c>
      <c r="C85" s="243">
        <v>40329</v>
      </c>
      <c r="D85" s="244" t="e">
        <f t="shared" si="11"/>
        <v>#REF!</v>
      </c>
      <c r="E85" s="242" t="e">
        <f t="shared" si="9"/>
        <v>#REF!</v>
      </c>
      <c r="F85" s="245">
        <v>372510</v>
      </c>
      <c r="G85" s="242" t="e">
        <f t="shared" si="12"/>
        <v>#REF!</v>
      </c>
      <c r="H85" s="242" t="s">
        <v>252</v>
      </c>
      <c r="I85" s="242"/>
      <c r="J85" s="117"/>
      <c r="K85" s="167"/>
      <c r="L85" s="167"/>
    </row>
    <row r="86" spans="1:12">
      <c r="A86" s="242" t="s">
        <v>486</v>
      </c>
      <c r="B86" s="243" t="e">
        <f t="shared" si="8"/>
        <v>#REF!</v>
      </c>
      <c r="C86" s="243">
        <v>41090</v>
      </c>
      <c r="D86" s="244" t="e">
        <f t="shared" si="11"/>
        <v>#REF!</v>
      </c>
      <c r="E86" s="242" t="e">
        <f t="shared" si="9"/>
        <v>#REF!</v>
      </c>
      <c r="F86" s="245">
        <v>315509</v>
      </c>
      <c r="G86" s="242" t="e">
        <f t="shared" si="12"/>
        <v>#REF!</v>
      </c>
      <c r="H86" s="242" t="s">
        <v>365</v>
      </c>
      <c r="I86" s="242"/>
      <c r="J86" s="117"/>
      <c r="K86" s="167"/>
      <c r="L86" s="167"/>
    </row>
    <row r="87" spans="1:12">
      <c r="A87" s="242" t="s">
        <v>984</v>
      </c>
      <c r="B87" s="243" t="e">
        <f t="shared" si="8"/>
        <v>#REF!</v>
      </c>
      <c r="C87" s="243">
        <v>41680</v>
      </c>
      <c r="D87" s="244" t="e">
        <f t="shared" si="11"/>
        <v>#REF!</v>
      </c>
      <c r="E87" s="242" t="e">
        <f t="shared" si="9"/>
        <v>#REF!</v>
      </c>
      <c r="F87" s="245">
        <v>485342</v>
      </c>
      <c r="G87" s="242" t="e">
        <f t="shared" si="12"/>
        <v>#REF!</v>
      </c>
      <c r="H87" s="242" t="s">
        <v>252</v>
      </c>
      <c r="I87" s="242"/>
      <c r="J87" s="117"/>
      <c r="K87" s="167"/>
      <c r="L87" s="167"/>
    </row>
    <row r="88" spans="1:12">
      <c r="A88" s="246" t="s">
        <v>329</v>
      </c>
      <c r="B88" s="243" t="e">
        <f t="shared" si="8"/>
        <v>#REF!</v>
      </c>
      <c r="C88" s="243">
        <v>41851</v>
      </c>
      <c r="D88" s="244" t="e">
        <f t="shared" si="11"/>
        <v>#REF!</v>
      </c>
      <c r="E88" s="242" t="e">
        <f t="shared" si="9"/>
        <v>#REF!</v>
      </c>
      <c r="F88" s="245">
        <v>343274</v>
      </c>
      <c r="G88" s="242" t="e">
        <f t="shared" si="12"/>
        <v>#REF!</v>
      </c>
      <c r="H88" s="242" t="s">
        <v>252</v>
      </c>
      <c r="I88" s="242"/>
      <c r="J88" s="117"/>
      <c r="K88" s="167"/>
      <c r="L88" s="167"/>
    </row>
    <row r="89" spans="1:12">
      <c r="A89" s="242" t="s">
        <v>55</v>
      </c>
      <c r="B89" s="243" t="e">
        <f t="shared" si="8"/>
        <v>#REF!</v>
      </c>
      <c r="C89" s="243">
        <v>39953</v>
      </c>
      <c r="D89" s="244" t="e">
        <f t="shared" si="11"/>
        <v>#REF!</v>
      </c>
      <c r="E89" s="242" t="e">
        <f t="shared" si="9"/>
        <v>#REF!</v>
      </c>
      <c r="F89" s="245">
        <v>368673</v>
      </c>
      <c r="G89" s="242" t="e">
        <f t="shared" si="12"/>
        <v>#REF!</v>
      </c>
      <c r="H89" s="242" t="s">
        <v>252</v>
      </c>
      <c r="I89" s="242"/>
      <c r="J89" s="117"/>
      <c r="K89" s="167"/>
      <c r="L89" s="167"/>
    </row>
    <row r="90" spans="1:12">
      <c r="A90" s="242" t="s">
        <v>487</v>
      </c>
      <c r="B90" s="243" t="e">
        <f t="shared" si="8"/>
        <v>#REF!</v>
      </c>
      <c r="C90" s="243">
        <v>39903</v>
      </c>
      <c r="D90" s="244" t="e">
        <f t="shared" si="11"/>
        <v>#REF!</v>
      </c>
      <c r="E90" s="242" t="e">
        <f t="shared" si="9"/>
        <v>#REF!</v>
      </c>
      <c r="F90" s="245">
        <v>319861</v>
      </c>
      <c r="G90" s="242" t="e">
        <f t="shared" si="12"/>
        <v>#REF!</v>
      </c>
      <c r="H90" s="242" t="s">
        <v>252</v>
      </c>
      <c r="I90" s="242"/>
      <c r="J90" s="117"/>
      <c r="K90" s="167"/>
      <c r="L90" s="167"/>
    </row>
    <row r="91" spans="1:12">
      <c r="A91" s="242" t="s">
        <v>56</v>
      </c>
      <c r="B91" s="243" t="e">
        <f t="shared" si="8"/>
        <v>#REF!</v>
      </c>
      <c r="C91" s="243">
        <v>41790</v>
      </c>
      <c r="D91" s="244" t="e">
        <f t="shared" si="11"/>
        <v>#REF!</v>
      </c>
      <c r="E91" s="242" t="e">
        <f t="shared" si="9"/>
        <v>#REF!</v>
      </c>
      <c r="F91" s="245">
        <v>366711</v>
      </c>
      <c r="G91" s="242" t="e">
        <f t="shared" si="12"/>
        <v>#REF!</v>
      </c>
      <c r="H91" s="242" t="s">
        <v>365</v>
      </c>
      <c r="I91" s="242"/>
      <c r="J91" s="117"/>
      <c r="K91" s="167"/>
      <c r="L91" s="167"/>
    </row>
    <row r="92" spans="1:12">
      <c r="A92" s="242" t="s">
        <v>57</v>
      </c>
      <c r="B92" s="243" t="e">
        <f t="shared" si="8"/>
        <v>#REF!</v>
      </c>
      <c r="C92" s="243">
        <v>40451</v>
      </c>
      <c r="D92" s="244" t="e">
        <f t="shared" si="11"/>
        <v>#REF!</v>
      </c>
      <c r="E92" s="242" t="e">
        <f t="shared" si="9"/>
        <v>#REF!</v>
      </c>
      <c r="F92" s="245">
        <v>317368</v>
      </c>
      <c r="G92" s="242" t="e">
        <f t="shared" si="12"/>
        <v>#REF!</v>
      </c>
      <c r="H92" s="242" t="s">
        <v>252</v>
      </c>
      <c r="I92" s="242"/>
      <c r="J92" s="117"/>
      <c r="K92" s="167"/>
      <c r="L92" s="167"/>
    </row>
    <row r="93" spans="1:12">
      <c r="A93" s="246" t="s">
        <v>330</v>
      </c>
      <c r="B93" s="243" t="e">
        <f t="shared" si="8"/>
        <v>#REF!</v>
      </c>
      <c r="C93" s="243">
        <v>39994</v>
      </c>
      <c r="D93" s="244" t="e">
        <f t="shared" si="11"/>
        <v>#REF!</v>
      </c>
      <c r="E93" s="242" t="e">
        <f t="shared" si="9"/>
        <v>#REF!</v>
      </c>
      <c r="F93" s="245">
        <v>371610</v>
      </c>
      <c r="G93" s="242" t="e">
        <f t="shared" si="12"/>
        <v>#REF!</v>
      </c>
      <c r="H93" s="242" t="s">
        <v>252</v>
      </c>
      <c r="I93" s="242"/>
      <c r="J93" s="117"/>
      <c r="K93" s="167"/>
      <c r="L93" s="167"/>
    </row>
    <row r="94" spans="1:12">
      <c r="A94" s="247" t="s">
        <v>488</v>
      </c>
      <c r="B94" s="243" t="e">
        <f t="shared" si="8"/>
        <v>#REF!</v>
      </c>
      <c r="C94" s="243">
        <v>40118</v>
      </c>
      <c r="D94" s="244" t="e">
        <f t="shared" si="11"/>
        <v>#REF!</v>
      </c>
      <c r="E94" s="242" t="e">
        <f t="shared" si="9"/>
        <v>#REF!</v>
      </c>
      <c r="F94" s="245">
        <v>370228</v>
      </c>
      <c r="G94" s="242" t="e">
        <f t="shared" si="12"/>
        <v>#REF!</v>
      </c>
      <c r="H94" s="242" t="s">
        <v>252</v>
      </c>
      <c r="I94" s="242"/>
      <c r="J94" s="117"/>
      <c r="K94" s="167"/>
      <c r="L94" s="167"/>
    </row>
    <row r="95" spans="1:12">
      <c r="A95" s="242" t="s">
        <v>674</v>
      </c>
      <c r="B95" s="243" t="e">
        <f t="shared" si="8"/>
        <v>#REF!</v>
      </c>
      <c r="C95" s="243">
        <v>40908</v>
      </c>
      <c r="D95" s="244" t="e">
        <f t="shared" si="11"/>
        <v>#REF!</v>
      </c>
      <c r="E95" s="242" t="e">
        <f t="shared" si="9"/>
        <v>#REF!</v>
      </c>
      <c r="F95" s="245">
        <v>317697</v>
      </c>
      <c r="G95" s="242" t="e">
        <f t="shared" si="12"/>
        <v>#REF!</v>
      </c>
      <c r="H95" s="242" t="s">
        <v>252</v>
      </c>
      <c r="I95" s="242"/>
      <c r="J95" s="117"/>
      <c r="K95" s="167"/>
      <c r="L95" s="167"/>
    </row>
    <row r="96" spans="1:12">
      <c r="A96" s="246" t="s">
        <v>174</v>
      </c>
      <c r="B96" s="243" t="e">
        <f t="shared" si="8"/>
        <v>#REF!</v>
      </c>
      <c r="C96" s="243">
        <v>39872</v>
      </c>
      <c r="D96" s="244" t="e">
        <f t="shared" si="11"/>
        <v>#REF!</v>
      </c>
      <c r="E96" s="242" t="e">
        <f t="shared" si="9"/>
        <v>#REF!</v>
      </c>
      <c r="F96" s="245">
        <v>501650</v>
      </c>
      <c r="G96" s="242" t="e">
        <f t="shared" si="12"/>
        <v>#REF!</v>
      </c>
      <c r="H96" s="242" t="s">
        <v>365</v>
      </c>
      <c r="I96" s="242"/>
      <c r="J96" s="117"/>
      <c r="K96" s="167"/>
      <c r="L96" s="167"/>
    </row>
    <row r="97" spans="1:12">
      <c r="A97" s="242" t="s">
        <v>341</v>
      </c>
      <c r="B97" s="243" t="e">
        <f t="shared" ref="B97:B109" si="13">ONGOINGDATE</f>
        <v>#REF!</v>
      </c>
      <c r="C97" s="243">
        <v>40694</v>
      </c>
      <c r="D97" s="244" t="e">
        <f t="shared" si="11"/>
        <v>#REF!</v>
      </c>
      <c r="E97" s="242" t="e">
        <f t="shared" ref="E97:E106" si="14">D97/12</f>
        <v>#REF!</v>
      </c>
      <c r="F97" s="245">
        <v>375878</v>
      </c>
      <c r="G97" s="242" t="e">
        <f t="shared" si="12"/>
        <v>#REF!</v>
      </c>
      <c r="H97" s="242" t="s">
        <v>365</v>
      </c>
      <c r="I97" s="242"/>
      <c r="J97" s="117"/>
      <c r="K97" s="167"/>
      <c r="L97" s="167"/>
    </row>
    <row r="98" spans="1:12">
      <c r="A98" s="242" t="s">
        <v>480</v>
      </c>
      <c r="B98" s="243" t="e">
        <f t="shared" si="13"/>
        <v>#REF!</v>
      </c>
      <c r="C98" s="243">
        <v>41152</v>
      </c>
      <c r="D98" s="244" t="e">
        <f t="shared" si="11"/>
        <v>#REF!</v>
      </c>
      <c r="E98" s="242" t="e">
        <f t="shared" si="14"/>
        <v>#REF!</v>
      </c>
      <c r="F98" s="245">
        <v>328040</v>
      </c>
      <c r="G98" s="242" t="e">
        <f t="shared" si="12"/>
        <v>#REF!</v>
      </c>
      <c r="H98" s="242" t="s">
        <v>252</v>
      </c>
      <c r="I98" s="242"/>
      <c r="J98" s="117"/>
      <c r="K98" s="167"/>
      <c r="L98" s="167"/>
    </row>
    <row r="99" spans="1:12">
      <c r="A99" s="242" t="s">
        <v>690</v>
      </c>
      <c r="B99" s="243" t="e">
        <f t="shared" si="13"/>
        <v>#REF!</v>
      </c>
      <c r="C99" s="243">
        <v>41090</v>
      </c>
      <c r="D99" s="244" t="e">
        <f t="shared" si="11"/>
        <v>#REF!</v>
      </c>
      <c r="E99" s="242" t="e">
        <f t="shared" si="14"/>
        <v>#REF!</v>
      </c>
      <c r="F99" s="245">
        <v>487310</v>
      </c>
      <c r="G99" s="242" t="e">
        <f t="shared" si="12"/>
        <v>#REF!</v>
      </c>
      <c r="H99" s="242" t="s">
        <v>252</v>
      </c>
      <c r="I99" s="242"/>
      <c r="J99" s="117"/>
      <c r="K99" s="167"/>
      <c r="L99" s="167"/>
    </row>
    <row r="100" spans="1:12">
      <c r="A100" s="246" t="s">
        <v>177</v>
      </c>
      <c r="B100" s="243" t="e">
        <f t="shared" si="13"/>
        <v>#REF!</v>
      </c>
      <c r="C100" s="243">
        <v>40451</v>
      </c>
      <c r="D100" s="244" t="e">
        <f t="shared" si="11"/>
        <v>#REF!</v>
      </c>
      <c r="E100" s="242" t="e">
        <f t="shared" si="14"/>
        <v>#REF!</v>
      </c>
      <c r="F100" s="245">
        <v>316148</v>
      </c>
      <c r="G100" s="242" t="e">
        <f t="shared" si="12"/>
        <v>#REF!</v>
      </c>
      <c r="H100" s="242" t="s">
        <v>365</v>
      </c>
      <c r="I100" s="242"/>
      <c r="J100" s="117"/>
      <c r="K100" s="167"/>
      <c r="L100" s="167"/>
    </row>
    <row r="101" spans="1:12">
      <c r="A101" s="246" t="s">
        <v>175</v>
      </c>
      <c r="B101" s="243" t="e">
        <f t="shared" si="13"/>
        <v>#REF!</v>
      </c>
      <c r="C101" s="243">
        <v>42855</v>
      </c>
      <c r="D101" s="244" t="e">
        <f t="shared" si="11"/>
        <v>#REF!</v>
      </c>
      <c r="E101" s="242" t="e">
        <f t="shared" si="14"/>
        <v>#REF!</v>
      </c>
      <c r="F101" s="245">
        <v>362244</v>
      </c>
      <c r="G101" s="242" t="e">
        <f t="shared" si="12"/>
        <v>#REF!</v>
      </c>
      <c r="H101" s="242" t="s">
        <v>365</v>
      </c>
      <c r="I101" s="242"/>
      <c r="J101" s="117"/>
      <c r="K101" s="167"/>
      <c r="L101" s="167"/>
    </row>
    <row r="102" spans="1:12">
      <c r="A102" s="246" t="s">
        <v>176</v>
      </c>
      <c r="B102" s="243" t="e">
        <f t="shared" si="13"/>
        <v>#REF!</v>
      </c>
      <c r="C102" s="243">
        <v>41639</v>
      </c>
      <c r="D102" s="244" t="e">
        <f t="shared" si="11"/>
        <v>#REF!</v>
      </c>
      <c r="E102" s="242" t="e">
        <f t="shared" si="14"/>
        <v>#REF!</v>
      </c>
      <c r="F102" s="245">
        <v>362013</v>
      </c>
      <c r="G102" s="242" t="e">
        <f t="shared" si="12"/>
        <v>#REF!</v>
      </c>
      <c r="H102" s="242" t="s">
        <v>252</v>
      </c>
      <c r="I102" s="242"/>
      <c r="J102" s="117"/>
      <c r="K102" s="167"/>
      <c r="L102" s="167"/>
    </row>
    <row r="103" spans="1:12">
      <c r="A103" s="242" t="s">
        <v>489</v>
      </c>
      <c r="B103" s="243" t="e">
        <f t="shared" si="13"/>
        <v>#REF!</v>
      </c>
      <c r="C103" s="243">
        <v>40786</v>
      </c>
      <c r="D103" s="244" t="e">
        <f t="shared" si="11"/>
        <v>#REF!</v>
      </c>
      <c r="E103" s="242" t="e">
        <f t="shared" si="14"/>
        <v>#REF!</v>
      </c>
      <c r="F103" s="245">
        <v>363644</v>
      </c>
      <c r="G103" s="242" t="e">
        <f t="shared" si="12"/>
        <v>#REF!</v>
      </c>
      <c r="H103" s="242" t="s">
        <v>252</v>
      </c>
      <c r="I103" s="242"/>
      <c r="J103" s="117"/>
      <c r="K103" s="167"/>
      <c r="L103" s="167"/>
    </row>
    <row r="104" spans="1:12">
      <c r="A104" s="242" t="s">
        <v>705</v>
      </c>
      <c r="B104" s="243" t="e">
        <f t="shared" si="13"/>
        <v>#REF!</v>
      </c>
      <c r="C104" s="243">
        <v>40219</v>
      </c>
      <c r="D104" s="244" t="e">
        <f t="shared" si="11"/>
        <v>#REF!</v>
      </c>
      <c r="E104" s="242" t="e">
        <f t="shared" si="14"/>
        <v>#REF!</v>
      </c>
      <c r="F104" s="245">
        <v>961040</v>
      </c>
      <c r="G104" s="242" t="e">
        <f t="shared" si="12"/>
        <v>#REF!</v>
      </c>
      <c r="H104" s="242" t="s">
        <v>252</v>
      </c>
      <c r="I104" s="242"/>
      <c r="J104" s="117"/>
      <c r="K104" s="167"/>
      <c r="L104" s="167"/>
    </row>
    <row r="105" spans="1:12">
      <c r="A105" s="242" t="s">
        <v>983</v>
      </c>
      <c r="B105" s="243" t="e">
        <f t="shared" si="13"/>
        <v>#REF!</v>
      </c>
      <c r="C105" s="243">
        <v>42262</v>
      </c>
      <c r="D105" s="244" t="e">
        <f t="shared" si="11"/>
        <v>#REF!</v>
      </c>
      <c r="E105" s="242" t="e">
        <f t="shared" si="14"/>
        <v>#REF!</v>
      </c>
      <c r="F105" s="245">
        <v>363664</v>
      </c>
      <c r="G105" s="242" t="e">
        <f t="shared" si="12"/>
        <v>#REF!</v>
      </c>
      <c r="H105" s="242" t="s">
        <v>252</v>
      </c>
      <c r="I105" s="242"/>
      <c r="J105" s="117"/>
      <c r="K105" s="167"/>
      <c r="L105" s="167"/>
    </row>
    <row r="106" spans="1:12">
      <c r="A106" s="242" t="s">
        <v>490</v>
      </c>
      <c r="B106" s="243" t="e">
        <f t="shared" si="13"/>
        <v>#REF!</v>
      </c>
      <c r="C106" s="243">
        <v>41820</v>
      </c>
      <c r="D106" s="244" t="e">
        <f t="shared" si="11"/>
        <v>#REF!</v>
      </c>
      <c r="E106" s="242" t="e">
        <f t="shared" si="14"/>
        <v>#REF!</v>
      </c>
      <c r="F106" s="245">
        <v>343259</v>
      </c>
      <c r="G106" s="242" t="e">
        <f t="shared" si="12"/>
        <v>#REF!</v>
      </c>
      <c r="H106" s="242" t="s">
        <v>252</v>
      </c>
      <c r="I106" s="242"/>
      <c r="J106" s="117"/>
      <c r="K106" s="167"/>
      <c r="L106" s="167"/>
    </row>
    <row r="107" spans="1:12">
      <c r="A107" s="242" t="s">
        <v>751</v>
      </c>
      <c r="B107" s="243" t="e">
        <f t="shared" si="13"/>
        <v>#REF!</v>
      </c>
      <c r="C107" s="243">
        <v>40515</v>
      </c>
      <c r="D107" s="244" t="e">
        <f t="shared" si="11"/>
        <v>#REF!</v>
      </c>
      <c r="E107" s="242">
        <v>3.8333333330000001</v>
      </c>
      <c r="F107" s="245">
        <v>317722</v>
      </c>
      <c r="G107" s="242" t="e">
        <f t="shared" si="12"/>
        <v>#REF!</v>
      </c>
      <c r="H107" s="242" t="s">
        <v>365</v>
      </c>
      <c r="I107" s="242" t="s">
        <v>365</v>
      </c>
      <c r="J107" s="117"/>
      <c r="K107" s="167"/>
      <c r="L107" s="167"/>
    </row>
    <row r="108" spans="1:12">
      <c r="A108" s="242" t="s">
        <v>604</v>
      </c>
      <c r="B108" s="243" t="e">
        <f t="shared" si="13"/>
        <v>#REF!</v>
      </c>
      <c r="C108" s="243">
        <v>40514</v>
      </c>
      <c r="D108" s="244" t="e">
        <f t="shared" si="11"/>
        <v>#REF!</v>
      </c>
      <c r="E108" s="242">
        <v>3.8333333330000001</v>
      </c>
      <c r="F108" s="245">
        <v>317722</v>
      </c>
      <c r="G108" s="242" t="e">
        <f t="shared" si="12"/>
        <v>#REF!</v>
      </c>
      <c r="H108" s="242" t="s">
        <v>365</v>
      </c>
      <c r="I108" s="242" t="s">
        <v>365</v>
      </c>
      <c r="J108" s="117"/>
      <c r="K108" s="167"/>
      <c r="L108" s="167"/>
    </row>
    <row r="109" spans="1:12">
      <c r="A109" s="242" t="s">
        <v>491</v>
      </c>
      <c r="B109" s="243" t="e">
        <f t="shared" si="13"/>
        <v>#REF!</v>
      </c>
      <c r="C109" s="243">
        <v>40602</v>
      </c>
      <c r="D109" s="244" t="e">
        <f t="shared" si="11"/>
        <v>#REF!</v>
      </c>
      <c r="E109" s="242">
        <v>3.8333333330000001</v>
      </c>
      <c r="F109" s="245">
        <v>315973</v>
      </c>
      <c r="G109" s="242" t="e">
        <f t="shared" si="12"/>
        <v>#REF!</v>
      </c>
      <c r="H109" s="242" t="s">
        <v>252</v>
      </c>
      <c r="I109" s="242"/>
      <c r="J109" s="117"/>
      <c r="K109" s="167"/>
      <c r="L109" s="167"/>
    </row>
    <row r="110" spans="1:12">
      <c r="A110" s="116"/>
      <c r="B110" s="116"/>
      <c r="C110" s="188"/>
      <c r="D110" s="116"/>
      <c r="E110" s="117"/>
      <c r="F110" s="117"/>
      <c r="G110" s="117"/>
      <c r="H110" s="117"/>
      <c r="I110" s="117"/>
      <c r="J110" s="117"/>
      <c r="K110" s="167"/>
      <c r="L110" s="167"/>
    </row>
    <row r="111" spans="1:12" ht="12" thickBot="1">
      <c r="A111" s="172"/>
      <c r="B111" s="172"/>
      <c r="C111" s="172"/>
      <c r="D111" s="172"/>
      <c r="E111" s="167"/>
      <c r="F111" s="167"/>
      <c r="G111" s="167"/>
      <c r="H111" s="167"/>
      <c r="I111" s="167"/>
      <c r="J111" s="167"/>
      <c r="K111" s="167"/>
      <c r="L111" s="167"/>
    </row>
    <row r="112" spans="1:12">
      <c r="A112" s="179" t="s">
        <v>160</v>
      </c>
      <c r="B112" s="180" t="e">
        <f>SUM(VLOOKUP(#REF!,Clientinfo,4,FALSE),G133)</f>
        <v>#REF!</v>
      </c>
      <c r="C112" s="172"/>
      <c r="D112" s="172"/>
      <c r="E112" s="167"/>
      <c r="F112" s="167"/>
      <c r="G112" s="167"/>
      <c r="H112" s="167"/>
      <c r="I112" s="167"/>
      <c r="J112" s="167"/>
      <c r="K112" s="167"/>
      <c r="L112" s="167"/>
    </row>
    <row r="113" spans="1:16" ht="12" thickBot="1">
      <c r="A113" s="189" t="s">
        <v>200</v>
      </c>
      <c r="B113" s="190" t="e">
        <f>(BaseMths/12)</f>
        <v>#REF!</v>
      </c>
      <c r="C113" s="172"/>
      <c r="D113" s="172"/>
      <c r="E113" s="167"/>
      <c r="F113" s="167"/>
      <c r="G113" s="167"/>
      <c r="H113" s="167"/>
      <c r="I113" s="167"/>
    </row>
    <row r="114" spans="1:16">
      <c r="A114" s="172"/>
      <c r="B114" s="172"/>
      <c r="C114" s="172"/>
      <c r="D114" s="172"/>
      <c r="E114" s="167"/>
      <c r="F114" s="167"/>
      <c r="G114" s="167"/>
      <c r="H114" s="167"/>
      <c r="I114" s="167"/>
    </row>
    <row r="115" spans="1:16">
      <c r="A115" s="172"/>
      <c r="B115" s="172"/>
      <c r="C115" s="172"/>
      <c r="D115" s="172"/>
      <c r="E115" s="167"/>
      <c r="F115" s="167"/>
      <c r="G115" s="167"/>
      <c r="H115" s="167"/>
      <c r="I115" s="167"/>
    </row>
    <row r="116" spans="1:16">
      <c r="A116" s="191"/>
      <c r="B116" s="191"/>
      <c r="C116" s="191"/>
      <c r="D116" s="191"/>
      <c r="E116" s="192"/>
      <c r="F116" s="193"/>
      <c r="G116" s="193"/>
      <c r="H116" s="193"/>
      <c r="I116" s="193"/>
    </row>
    <row r="117" spans="1:16">
      <c r="A117" s="194">
        <v>0.94</v>
      </c>
      <c r="B117" s="191"/>
      <c r="C117" s="191" t="s">
        <v>773</v>
      </c>
      <c r="D117" s="191"/>
      <c r="E117" s="192"/>
      <c r="F117" s="193"/>
      <c r="G117" s="193"/>
      <c r="H117" s="193"/>
      <c r="I117" s="193"/>
    </row>
    <row r="118" spans="1:16" ht="12" thickBot="1">
      <c r="A118" s="195">
        <v>0.94</v>
      </c>
      <c r="B118" s="192"/>
      <c r="C118" s="192" t="s">
        <v>909</v>
      </c>
      <c r="D118" s="192"/>
      <c r="E118" s="196"/>
      <c r="F118" s="197"/>
      <c r="G118" s="193"/>
      <c r="H118" s="193"/>
      <c r="I118" s="193"/>
    </row>
    <row r="119" spans="1:16" ht="12" thickBot="1">
      <c r="A119" s="192"/>
      <c r="B119" s="192"/>
      <c r="C119" s="192"/>
      <c r="D119" s="192"/>
      <c r="E119" s="196"/>
      <c r="F119" s="197"/>
      <c r="G119" s="193"/>
      <c r="H119" s="193"/>
      <c r="I119" s="193"/>
    </row>
    <row r="120" spans="1:16">
      <c r="A120" s="198"/>
      <c r="B120" s="198"/>
      <c r="C120" s="197"/>
      <c r="D120" s="199"/>
      <c r="E120" s="193"/>
      <c r="F120" s="197"/>
      <c r="G120" s="193"/>
      <c r="H120" s="193"/>
      <c r="I120" s="193"/>
    </row>
    <row r="121" spans="1:16" ht="12" thickBot="1">
      <c r="A121" s="198"/>
      <c r="B121" s="198"/>
      <c r="C121" s="197"/>
      <c r="D121" s="199"/>
      <c r="E121" s="193"/>
      <c r="F121" s="193"/>
      <c r="G121" s="193"/>
      <c r="H121" s="193"/>
      <c r="I121" s="193"/>
    </row>
    <row r="122" spans="1:16" ht="12" thickBot="1">
      <c r="A122" s="198"/>
      <c r="B122" s="198"/>
      <c r="C122" s="197"/>
      <c r="D122" s="199"/>
      <c r="E122" s="193"/>
      <c r="F122" s="193"/>
      <c r="G122" s="200"/>
      <c r="H122" s="200"/>
      <c r="I122" s="200"/>
      <c r="J122" s="107"/>
      <c r="K122" s="107"/>
      <c r="L122" s="107"/>
      <c r="M122" s="107"/>
      <c r="N122" s="108"/>
      <c r="O122" s="108"/>
      <c r="P122" s="108"/>
    </row>
    <row r="123" spans="1:16" ht="12" thickBot="1">
      <c r="A123" s="201"/>
      <c r="B123" s="202" t="s">
        <v>496</v>
      </c>
      <c r="C123" s="202"/>
      <c r="D123" s="202"/>
      <c r="E123" s="203"/>
      <c r="F123" s="193"/>
      <c r="G123" s="192"/>
      <c r="H123" s="192"/>
      <c r="I123" s="192"/>
      <c r="J123" s="105"/>
      <c r="K123" s="105"/>
      <c r="L123" s="105"/>
      <c r="M123" s="105"/>
      <c r="N123" s="109"/>
      <c r="O123" s="109"/>
      <c r="P123" s="109"/>
    </row>
    <row r="124" spans="1:16" ht="12.75">
      <c r="A124" s="204" t="s">
        <v>545</v>
      </c>
      <c r="B124" s="205"/>
      <c r="C124" s="205"/>
      <c r="D124" s="206"/>
      <c r="E124" s="207"/>
      <c r="F124" s="167"/>
      <c r="G124" s="208"/>
      <c r="H124" s="208"/>
      <c r="I124" s="208"/>
      <c r="J124" s="105"/>
      <c r="K124" s="105"/>
      <c r="L124" s="105"/>
      <c r="M124" s="105"/>
      <c r="N124" s="109"/>
      <c r="O124" s="109"/>
      <c r="P124" s="109"/>
    </row>
    <row r="125" spans="1:16" ht="12.75">
      <c r="A125" s="209" t="s">
        <v>69</v>
      </c>
      <c r="B125" s="210"/>
      <c r="C125" s="178"/>
      <c r="D125" s="178"/>
      <c r="E125" s="211"/>
      <c r="F125" s="167"/>
      <c r="G125" s="208"/>
      <c r="H125" s="208"/>
      <c r="I125" s="208"/>
      <c r="J125" s="105"/>
      <c r="K125" s="105"/>
      <c r="L125" s="105"/>
      <c r="M125" s="105"/>
      <c r="N125" s="109"/>
      <c r="O125" s="109"/>
      <c r="P125" s="109"/>
    </row>
    <row r="126" spans="1:16">
      <c r="A126" s="209" t="s">
        <v>1079</v>
      </c>
      <c r="B126" s="212"/>
      <c r="C126" s="172"/>
      <c r="D126" s="172"/>
      <c r="E126" s="213"/>
      <c r="F126" s="167"/>
      <c r="G126" s="214" t="s">
        <v>209</v>
      </c>
      <c r="H126" s="214" t="s">
        <v>6</v>
      </c>
      <c r="I126" s="214" t="s">
        <v>654</v>
      </c>
      <c r="J126" s="111" t="s">
        <v>655</v>
      </c>
      <c r="K126" s="111" t="s">
        <v>206</v>
      </c>
      <c r="L126" s="111" t="s">
        <v>207</v>
      </c>
      <c r="M126" s="111" t="s">
        <v>208</v>
      </c>
      <c r="N126" s="112" t="s">
        <v>430</v>
      </c>
      <c r="O126" s="112" t="s">
        <v>1082</v>
      </c>
      <c r="P126" s="112" t="s">
        <v>1083</v>
      </c>
    </row>
    <row r="127" spans="1:16">
      <c r="A127" s="209" t="s">
        <v>1084</v>
      </c>
      <c r="B127" s="212"/>
      <c r="C127" s="172"/>
      <c r="D127" s="172"/>
      <c r="E127" s="213"/>
      <c r="F127" s="167"/>
      <c r="G127" s="214" t="e">
        <f>IF(BaseMths&gt;=12,1,IF(BaseMths&gt;0,BaseMths/12,0))</f>
        <v>#REF!</v>
      </c>
      <c r="H127" s="214" t="e">
        <f>IF(BaseMths&gt;=24,1,IF((BaseMths-12)&gt;0,(BaseMths-12)/12,0))</f>
        <v>#REF!</v>
      </c>
      <c r="I127" s="214" t="e">
        <f>IF(BaseMths&gt;=36,1,IF((BaseMths-24)&gt;0,(BaseMths-24)/12,0))</f>
        <v>#REF!</v>
      </c>
      <c r="J127" s="111" t="e">
        <f>IF(BaseMths&gt;=48,1,IF((BaseMths-36)&gt;0,(BaseMths-36)/12,0))</f>
        <v>#REF!</v>
      </c>
      <c r="K127" s="111" t="e">
        <f>IF(BaseMths&gt;=60,1,IF((BaseMths-48)&gt;0,(BaseMths-48)/12,0))</f>
        <v>#REF!</v>
      </c>
      <c r="L127" s="111" t="e">
        <f>IF(BaseMths&gt;=72,1,IF((BaseMths-60)&gt;0,(BaseMths-60)/12,0))</f>
        <v>#REF!</v>
      </c>
      <c r="M127" s="111" t="e">
        <f>IF(BaseMths&gt;=84,1,IF((BaseMths-72)&gt;0,(BaseMths-72)/12,0))</f>
        <v>#REF!</v>
      </c>
      <c r="N127" s="112" t="e">
        <f>IF(BaseMths&gt;=96,1,IF((BaseMths-84)&gt;0,(BaseMths-84)/12,0))</f>
        <v>#REF!</v>
      </c>
      <c r="O127" s="112" t="e">
        <f>IF(BaseMths&gt;=108,1,IF((BaseMths-96)&gt;0,(BaseMths-96)/12,0))</f>
        <v>#REF!</v>
      </c>
      <c r="P127" s="112" t="e">
        <f>IF(BaseMths&gt;=120,1,IF((BaseMths-108)&gt;0,(BaseMths-108)/12,0))</f>
        <v>#REF!</v>
      </c>
    </row>
    <row r="128" spans="1:16" ht="13.5" thickBot="1">
      <c r="A128" s="209" t="s">
        <v>1080</v>
      </c>
      <c r="B128" s="210"/>
      <c r="C128" s="178"/>
      <c r="D128" s="178"/>
      <c r="E128" s="213"/>
      <c r="F128" s="167"/>
      <c r="G128" s="215"/>
      <c r="H128" s="215"/>
      <c r="I128" s="215"/>
      <c r="J128" s="106"/>
      <c r="K128" s="106"/>
      <c r="L128" s="106"/>
      <c r="M128" s="106"/>
      <c r="N128" s="113"/>
      <c r="O128" s="113"/>
      <c r="P128" s="113"/>
    </row>
    <row r="129" spans="1:14" ht="12.75">
      <c r="A129" s="209" t="s">
        <v>1085</v>
      </c>
      <c r="B129" s="210"/>
      <c r="C129" s="178"/>
      <c r="D129" s="172"/>
      <c r="E129" s="211"/>
      <c r="F129" s="167"/>
      <c r="G129" s="167"/>
      <c r="H129" s="167"/>
      <c r="I129" s="167"/>
    </row>
    <row r="130" spans="1:14" ht="13.5" thickBot="1">
      <c r="A130" s="209" t="s">
        <v>848</v>
      </c>
      <c r="B130" s="210"/>
      <c r="C130" s="178"/>
      <c r="D130" s="172"/>
      <c r="E130" s="213"/>
      <c r="F130" s="167"/>
      <c r="G130" s="167"/>
      <c r="H130" s="167"/>
      <c r="I130" s="167"/>
    </row>
    <row r="131" spans="1:14" ht="12.75">
      <c r="A131" s="209" t="s">
        <v>849</v>
      </c>
      <c r="B131" s="210"/>
      <c r="C131" s="178"/>
      <c r="D131" s="178"/>
      <c r="E131" s="211"/>
      <c r="F131" s="167"/>
      <c r="G131" s="179"/>
      <c r="H131" s="216" t="s">
        <v>227</v>
      </c>
      <c r="I131" s="216"/>
      <c r="J131" s="32"/>
      <c r="K131" s="32"/>
      <c r="L131" s="32"/>
      <c r="M131" s="32"/>
      <c r="N131" s="103"/>
    </row>
    <row r="132" spans="1:14" ht="12.75">
      <c r="A132" s="209" t="s">
        <v>494</v>
      </c>
      <c r="B132" s="210"/>
      <c r="C132" s="178"/>
      <c r="D132" s="178"/>
      <c r="E132" s="213"/>
      <c r="F132" s="167"/>
      <c r="G132" s="209"/>
      <c r="H132" s="172"/>
      <c r="I132" s="172"/>
      <c r="J132" s="5"/>
      <c r="K132" s="5"/>
      <c r="L132" s="5"/>
      <c r="M132" s="5"/>
      <c r="N132" s="110"/>
    </row>
    <row r="133" spans="1:14" ht="12.75">
      <c r="A133" s="209" t="s">
        <v>68</v>
      </c>
      <c r="B133" s="210"/>
      <c r="C133" s="178"/>
      <c r="D133" s="178"/>
      <c r="E133" s="211"/>
      <c r="F133" s="167"/>
      <c r="G133" s="209" t="e">
        <f>IF(VLOOKUP(#REF!,Clientinfo,7,FALSE)&gt;15,1,0)</f>
        <v>#REF!</v>
      </c>
      <c r="H133" s="172" t="s">
        <v>228</v>
      </c>
      <c r="I133" s="172" t="s">
        <v>229</v>
      </c>
      <c r="J133" s="5"/>
      <c r="K133" s="5"/>
      <c r="L133" s="5"/>
      <c r="M133" s="5"/>
      <c r="N133" s="110"/>
    </row>
    <row r="134" spans="1:14" ht="13.5" thickBot="1">
      <c r="A134" s="151" t="s">
        <v>847</v>
      </c>
      <c r="B134" s="152"/>
      <c r="C134" s="81"/>
      <c r="D134" s="81"/>
      <c r="E134" s="150"/>
      <c r="G134" s="151"/>
      <c r="H134" s="166"/>
      <c r="I134" s="166"/>
      <c r="J134" s="166"/>
      <c r="K134" s="166"/>
      <c r="L134" s="166"/>
      <c r="M134" s="166"/>
      <c r="N134" s="104"/>
    </row>
    <row r="137" spans="1:14" ht="12">
      <c r="A137" s="153" t="s">
        <v>232</v>
      </c>
      <c r="B137" s="154" t="s">
        <v>233</v>
      </c>
      <c r="C137" s="154" t="s">
        <v>234</v>
      </c>
      <c r="D137" s="155" t="s">
        <v>235</v>
      </c>
    </row>
    <row r="138" spans="1:14" ht="12">
      <c r="A138" s="156" t="s">
        <v>495</v>
      </c>
      <c r="B138" s="157">
        <v>1</v>
      </c>
      <c r="C138" s="158">
        <f>1000/B138</f>
        <v>1000</v>
      </c>
      <c r="D138" s="159"/>
    </row>
    <row r="139" spans="1:14" ht="12">
      <c r="A139" s="156" t="s">
        <v>236</v>
      </c>
      <c r="B139" s="157" t="e">
        <f>12*YrsOngoing</f>
        <v>#REF!</v>
      </c>
      <c r="C139" s="158" t="e">
        <f>1000/B139</f>
        <v>#REF!</v>
      </c>
      <c r="D139" s="159"/>
    </row>
    <row r="140" spans="1:14" ht="12">
      <c r="A140" s="156" t="s">
        <v>237</v>
      </c>
      <c r="B140" s="157">
        <v>36</v>
      </c>
      <c r="C140" s="158">
        <f>1000/B140</f>
        <v>27.777777777777779</v>
      </c>
      <c r="D140" s="159"/>
    </row>
    <row r="141" spans="1:14" ht="12">
      <c r="A141" s="156" t="s">
        <v>238</v>
      </c>
      <c r="B141" s="157">
        <v>48</v>
      </c>
      <c r="C141" s="158">
        <f>1000/B141</f>
        <v>20.833333333333332</v>
      </c>
      <c r="D141" s="159"/>
    </row>
    <row r="142" spans="1:14" ht="12">
      <c r="A142" s="156" t="s">
        <v>239</v>
      </c>
      <c r="B142" s="157">
        <v>60</v>
      </c>
      <c r="C142" s="158">
        <f>1000/B142</f>
        <v>16.666666666666668</v>
      </c>
      <c r="D142" s="159"/>
    </row>
    <row r="143" spans="1:14" ht="12">
      <c r="A143" s="156" t="s">
        <v>240</v>
      </c>
      <c r="B143" s="157">
        <v>60</v>
      </c>
      <c r="C143" s="160">
        <v>20.04</v>
      </c>
      <c r="D143" s="159"/>
    </row>
    <row r="144" spans="1:14" ht="12">
      <c r="A144" s="156" t="s">
        <v>241</v>
      </c>
      <c r="B144" s="157">
        <v>60</v>
      </c>
      <c r="C144" s="160">
        <v>20.04</v>
      </c>
      <c r="D144" s="159"/>
    </row>
    <row r="145" spans="1:4" ht="12">
      <c r="A145" s="156" t="s">
        <v>941</v>
      </c>
      <c r="B145" s="161">
        <v>36</v>
      </c>
      <c r="C145" s="160">
        <v>28.36</v>
      </c>
      <c r="D145" s="159" t="s">
        <v>942</v>
      </c>
    </row>
    <row r="146" spans="1:4" ht="12">
      <c r="A146" s="156" t="s">
        <v>7</v>
      </c>
      <c r="B146" s="161">
        <v>36</v>
      </c>
      <c r="C146" s="160">
        <v>28.61</v>
      </c>
      <c r="D146" s="159" t="s">
        <v>8</v>
      </c>
    </row>
    <row r="147" spans="1:4" ht="12">
      <c r="A147" s="156" t="s">
        <v>460</v>
      </c>
      <c r="B147" s="161">
        <v>36</v>
      </c>
      <c r="C147" s="160">
        <v>31.37</v>
      </c>
      <c r="D147" s="159"/>
    </row>
    <row r="148" spans="1:4" ht="12">
      <c r="A148" s="156" t="s">
        <v>461</v>
      </c>
      <c r="B148" s="161">
        <v>60</v>
      </c>
      <c r="C148" s="160">
        <v>20.04</v>
      </c>
      <c r="D148" s="159"/>
    </row>
    <row r="149" spans="1:4" ht="12.75" thickBot="1">
      <c r="A149" s="162" t="s">
        <v>462</v>
      </c>
      <c r="B149" s="163">
        <v>36</v>
      </c>
      <c r="C149" s="164">
        <v>31.37</v>
      </c>
      <c r="D149" s="165"/>
    </row>
  </sheetData>
  <sheetProtection password="C50C" sheet="1" selectLockedCells="1" selectUnlockedCells="1"/>
  <phoneticPr fontId="5" type="noConversion"/>
  <dataValidations count="1">
    <dataValidation type="list" allowBlank="1" showInputMessage="1" showErrorMessage="1" sqref="H2:H109">
      <formula1>"Y,N"</formula1>
    </dataValidation>
  </dataValidations>
  <pageMargins left="0.75" right="0.75" top="1" bottom="1" header="0.5" footer="0.5"/>
  <pageSetup paperSize="9" orientation="portrait" r:id="rId1"/>
  <headerFooter alignWithMargins="0"/>
  <ignoredErrors>
    <ignoredError sqref="F4:F5 B82:B91 F22:F23 F25:F27 F30 F31:F34 F37 F42 F50:F52 B92 B101:B109 B93:B97 B98:B100 B53:B81 F14:F20 B2:E5 F2 F7:F8 F11 B21:E30 B31:E37 B6:E20 B38:B52 D38:E52 C39:C52" unlockedFormula="1"/>
  </ignoredErrors>
  <legacyDrawing r:id="rId2"/>
</worksheet>
</file>

<file path=xl/worksheets/sheet12.xml><?xml version="1.0" encoding="utf-8"?>
<worksheet xmlns="http://schemas.openxmlformats.org/spreadsheetml/2006/main" xmlns:r="http://schemas.openxmlformats.org/officeDocument/2006/relationships">
  <sheetPr codeName="Sheet12"/>
  <dimension ref="A1:H117"/>
  <sheetViews>
    <sheetView workbookViewId="0">
      <selection activeCell="A8" sqref="A8"/>
    </sheetView>
  </sheetViews>
  <sheetFormatPr defaultRowHeight="11.25"/>
  <cols>
    <col min="1" max="1" width="57.42578125" style="2" bestFit="1" customWidth="1"/>
    <col min="2" max="2" width="28.5703125" style="12" customWidth="1"/>
    <col min="3" max="5" width="9.140625" style="12"/>
    <col min="6" max="6" width="36.28515625" style="12" customWidth="1"/>
    <col min="7" max="16384" width="9.140625" style="12"/>
  </cols>
  <sheetData>
    <row r="1" spans="1:8" ht="22.5">
      <c r="A1" s="2" t="s">
        <v>180</v>
      </c>
      <c r="B1" s="118" t="s">
        <v>1099</v>
      </c>
      <c r="C1" s="119" t="s">
        <v>830</v>
      </c>
      <c r="D1" s="119" t="s">
        <v>1100</v>
      </c>
      <c r="E1" s="120"/>
      <c r="F1" s="121" t="e">
        <f>"Frequencies for " &amp;ClientSelect</f>
        <v>#REF!</v>
      </c>
      <c r="G1" s="119" t="s">
        <v>830</v>
      </c>
      <c r="H1" s="119" t="s">
        <v>556</v>
      </c>
    </row>
    <row r="2" spans="1:8">
      <c r="A2" s="2" t="s">
        <v>181</v>
      </c>
      <c r="B2" s="122" t="s">
        <v>557</v>
      </c>
      <c r="C2" s="123">
        <v>0.66</v>
      </c>
      <c r="D2" s="123">
        <v>2</v>
      </c>
      <c r="E2" s="120"/>
      <c r="F2" s="122" t="s">
        <v>557</v>
      </c>
      <c r="G2" s="123">
        <f t="shared" ref="G2:G10" si="0">IF(ISERROR(VLOOKUP(ClientSelect&amp;" : "&amp;F2,SEC_FREQ_Overrides,2,FALSE)),VLOOKUP(F2,SEC_FREQ_Defaults,2,FALSE),VLOOKUP(ClientSelect&amp;" : "&amp;F2,SEC_FREQ_Overrides,2,FALSE))</f>
        <v>0.66</v>
      </c>
      <c r="H2" s="123">
        <f t="shared" ref="H2:H8" si="1">IF(ISERROR(VLOOKUP(ClientSelect&amp;" : "&amp;F2,SEC_FREQ_Overrides,3,FALSE)),VLOOKUP(F2,SEC_FREQ_Defaults,3,FALSE),VLOOKUP(ClientSelect&amp;" : "&amp;F2,SEC_FREQ_Overrides,3,FALSE))</f>
        <v>2</v>
      </c>
    </row>
    <row r="3" spans="1:8">
      <c r="A3" s="2" t="s">
        <v>132</v>
      </c>
      <c r="B3" s="122" t="s">
        <v>558</v>
      </c>
      <c r="C3" s="123">
        <v>4</v>
      </c>
      <c r="D3" s="123">
        <v>4</v>
      </c>
      <c r="E3" s="120"/>
      <c r="F3" s="122" t="s">
        <v>558</v>
      </c>
      <c r="G3" s="123">
        <f t="shared" si="0"/>
        <v>4</v>
      </c>
      <c r="H3" s="123">
        <f t="shared" si="1"/>
        <v>4</v>
      </c>
    </row>
    <row r="4" spans="1:8">
      <c r="A4" s="2" t="s">
        <v>133</v>
      </c>
      <c r="B4" s="122" t="s">
        <v>559</v>
      </c>
      <c r="C4" s="123">
        <v>1</v>
      </c>
      <c r="D4" s="123">
        <v>1</v>
      </c>
      <c r="E4" s="120"/>
      <c r="F4" s="122" t="s">
        <v>559</v>
      </c>
      <c r="G4" s="123">
        <f t="shared" si="0"/>
        <v>1</v>
      </c>
      <c r="H4" s="123">
        <f t="shared" si="1"/>
        <v>1</v>
      </c>
    </row>
    <row r="5" spans="1:8">
      <c r="A5" s="2" t="s">
        <v>134</v>
      </c>
      <c r="B5" s="122" t="s">
        <v>204</v>
      </c>
      <c r="C5" s="123">
        <v>1</v>
      </c>
      <c r="D5" s="123">
        <v>1</v>
      </c>
      <c r="E5" s="120"/>
      <c r="F5" s="122" t="s">
        <v>204</v>
      </c>
      <c r="G5" s="123">
        <f t="shared" si="0"/>
        <v>1</v>
      </c>
      <c r="H5" s="123">
        <f t="shared" si="1"/>
        <v>1</v>
      </c>
    </row>
    <row r="6" spans="1:8">
      <c r="A6" s="2" t="s">
        <v>135</v>
      </c>
      <c r="B6" s="122" t="s">
        <v>560</v>
      </c>
      <c r="C6" s="123">
        <v>0</v>
      </c>
      <c r="D6" s="123">
        <v>0</v>
      </c>
      <c r="E6" s="120"/>
      <c r="F6" s="122" t="s">
        <v>560</v>
      </c>
      <c r="G6" s="123">
        <f t="shared" si="0"/>
        <v>0</v>
      </c>
      <c r="H6" s="123">
        <f t="shared" si="1"/>
        <v>0</v>
      </c>
    </row>
    <row r="7" spans="1:8">
      <c r="A7" s="2" t="s">
        <v>131</v>
      </c>
      <c r="B7" s="122" t="s">
        <v>561</v>
      </c>
      <c r="C7" s="123">
        <v>0</v>
      </c>
      <c r="D7" s="123">
        <v>0</v>
      </c>
      <c r="E7" s="120"/>
      <c r="F7" s="122" t="s">
        <v>561</v>
      </c>
      <c r="G7" s="123">
        <f t="shared" si="0"/>
        <v>0</v>
      </c>
      <c r="H7" s="123">
        <f t="shared" si="1"/>
        <v>0</v>
      </c>
    </row>
    <row r="8" spans="1:8">
      <c r="A8" s="2" t="s">
        <v>129</v>
      </c>
      <c r="B8" s="122" t="s">
        <v>667</v>
      </c>
      <c r="C8" s="123">
        <v>0</v>
      </c>
      <c r="D8" s="123">
        <v>0</v>
      </c>
      <c r="E8" s="120"/>
      <c r="F8" s="122" t="s">
        <v>667</v>
      </c>
      <c r="G8" s="123">
        <f t="shared" si="0"/>
        <v>0</v>
      </c>
      <c r="H8" s="123">
        <f t="shared" si="1"/>
        <v>0</v>
      </c>
    </row>
    <row r="9" spans="1:8">
      <c r="A9" s="2" t="s">
        <v>130</v>
      </c>
      <c r="B9" s="124" t="s">
        <v>459</v>
      </c>
      <c r="C9" s="123">
        <v>12</v>
      </c>
      <c r="D9" s="123">
        <v>12</v>
      </c>
      <c r="E9" s="120"/>
      <c r="F9" s="125" t="s">
        <v>459</v>
      </c>
      <c r="G9" s="126">
        <f t="shared" si="0"/>
        <v>12</v>
      </c>
      <c r="H9" s="126">
        <f>IF(ISERROR(VLOOKUP(ClientSelect&amp;" : "&amp;F9,SEC_FREQ_Overrides,3,FALSE)),VLOOKUP(F9,SEC_FREQ_Defaults,3,FALSE),VLOOKUP(ClientSelect&amp;" : "&amp;F9,SEC_FREQ_Overrides,3,FALSE))</f>
        <v>12</v>
      </c>
    </row>
    <row r="10" spans="1:8">
      <c r="A10" s="2" t="s">
        <v>272</v>
      </c>
      <c r="B10" s="124" t="s">
        <v>562</v>
      </c>
      <c r="C10" s="123">
        <v>0.66</v>
      </c>
      <c r="D10" s="123">
        <v>1</v>
      </c>
      <c r="E10" s="120"/>
      <c r="F10" s="125" t="s">
        <v>562</v>
      </c>
      <c r="G10" s="126">
        <f t="shared" si="0"/>
        <v>0.66</v>
      </c>
      <c r="H10" s="126">
        <f>IF(ISERROR(VLOOKUP(ClientSelect&amp;" : "&amp;F10,SEC_FREQ_Overrides,3,FALSE)),VLOOKUP(F10,SEC_FREQ_Defaults,3,FALSE),VLOOKUP(ClientSelect&amp;" : "&amp;F10,SEC_FREQ_Overrides,3,FALSE))</f>
        <v>1</v>
      </c>
    </row>
    <row r="11" spans="1:8">
      <c r="A11" s="2" t="s">
        <v>128</v>
      </c>
      <c r="B11" s="120"/>
      <c r="C11" s="127"/>
      <c r="D11" s="127"/>
      <c r="E11" s="120"/>
      <c r="F11" s="128" t="s">
        <v>964</v>
      </c>
      <c r="G11" s="129" t="e">
        <f>IF(New_Infra="N",0,IF(SPM_ISEC="Y",SUM(G2:G8),0))</f>
        <v>#REF!</v>
      </c>
      <c r="H11" s="129" t="e">
        <f>IF(New_Infra="N",0,IF(OR(SPM_GSD331="Y",SPM_GSD332="Y"),SUM(H2:H8),0))</f>
        <v>#REF!</v>
      </c>
    </row>
    <row r="12" spans="1:8" ht="56.25">
      <c r="A12" s="2" t="s">
        <v>136</v>
      </c>
      <c r="B12" s="121" t="s">
        <v>186</v>
      </c>
      <c r="C12" s="119" t="s">
        <v>830</v>
      </c>
      <c r="D12" s="119" t="s">
        <v>1100</v>
      </c>
      <c r="E12" s="120"/>
      <c r="F12" s="124" t="s">
        <v>965</v>
      </c>
      <c r="G12" s="123" t="e">
        <f>ISEC_TS_Total</f>
        <v>#REF!</v>
      </c>
      <c r="H12" s="123" t="e">
        <f>SUM(GSD331_AP_Total, GSD332_AP_Total)</f>
        <v>#REF!</v>
      </c>
    </row>
    <row r="13" spans="1:8" ht="22.5">
      <c r="A13" s="2" t="s">
        <v>137</v>
      </c>
      <c r="B13" s="124" t="s">
        <v>537</v>
      </c>
      <c r="C13" s="123">
        <v>1</v>
      </c>
      <c r="D13" s="123"/>
      <c r="E13" s="120"/>
      <c r="F13" s="128" t="s">
        <v>966</v>
      </c>
      <c r="G13" s="129" t="e">
        <f>G11*G12</f>
        <v>#REF!</v>
      </c>
      <c r="H13" s="129" t="e">
        <f>H11*H12</f>
        <v>#REF!</v>
      </c>
    </row>
    <row r="14" spans="1:8" ht="22.5">
      <c r="A14" s="2" t="s">
        <v>138</v>
      </c>
      <c r="B14" s="124" t="s">
        <v>538</v>
      </c>
      <c r="C14" s="123">
        <v>1</v>
      </c>
      <c r="D14" s="123"/>
      <c r="E14" s="120"/>
      <c r="F14" s="120"/>
      <c r="G14" s="127"/>
      <c r="H14" s="127"/>
    </row>
    <row r="15" spans="1:8" ht="22.5">
      <c r="A15" s="2" t="s">
        <v>139</v>
      </c>
      <c r="B15" s="124" t="s">
        <v>539</v>
      </c>
      <c r="C15" s="123">
        <v>1</v>
      </c>
      <c r="D15" s="123"/>
      <c r="E15" s="120"/>
      <c r="F15" s="130"/>
      <c r="G15" s="131"/>
      <c r="H15" s="131"/>
    </row>
    <row r="16" spans="1:8" ht="22.5">
      <c r="A16" s="2" t="s">
        <v>140</v>
      </c>
      <c r="B16" s="124" t="s">
        <v>540</v>
      </c>
      <c r="C16" s="123">
        <v>1</v>
      </c>
      <c r="D16" s="123"/>
      <c r="E16" s="120"/>
      <c r="F16" s="130"/>
      <c r="G16" s="130"/>
      <c r="H16" s="130"/>
    </row>
    <row r="17" spans="1:8">
      <c r="A17" s="2" t="s">
        <v>141</v>
      </c>
      <c r="B17" s="122"/>
      <c r="C17" s="123"/>
      <c r="D17" s="123"/>
      <c r="E17" s="120"/>
      <c r="F17" s="120"/>
      <c r="G17" s="127"/>
      <c r="H17" s="127"/>
    </row>
    <row r="18" spans="1:8">
      <c r="A18" s="2" t="s">
        <v>142</v>
      </c>
      <c r="B18" s="122"/>
      <c r="C18" s="123"/>
      <c r="D18" s="123"/>
      <c r="E18" s="120"/>
      <c r="F18" s="120"/>
      <c r="G18" s="127"/>
      <c r="H18" s="127"/>
    </row>
    <row r="19" spans="1:8">
      <c r="A19" s="2" t="s">
        <v>143</v>
      </c>
      <c r="B19" s="122"/>
      <c r="C19" s="123"/>
      <c r="D19" s="123"/>
      <c r="E19" s="120"/>
      <c r="F19" s="120"/>
      <c r="G19" s="127"/>
      <c r="H19" s="127"/>
    </row>
    <row r="20" spans="1:8">
      <c r="A20" s="2" t="s">
        <v>127</v>
      </c>
      <c r="B20" s="122"/>
      <c r="C20" s="123"/>
      <c r="D20" s="123"/>
      <c r="E20" s="120"/>
      <c r="F20" s="120"/>
      <c r="G20" s="127"/>
      <c r="H20" s="127"/>
    </row>
    <row r="21" spans="1:8">
      <c r="A21" s="2" t="s">
        <v>273</v>
      </c>
      <c r="B21" s="122"/>
      <c r="C21" s="123"/>
      <c r="D21" s="123"/>
      <c r="E21" s="120"/>
      <c r="F21" s="120"/>
      <c r="G21" s="127"/>
      <c r="H21" s="127"/>
    </row>
    <row r="22" spans="1:8">
      <c r="A22" s="2" t="s">
        <v>274</v>
      </c>
      <c r="B22" s="122"/>
      <c r="C22" s="123"/>
      <c r="D22" s="123"/>
      <c r="E22" s="120"/>
      <c r="F22" s="120"/>
      <c r="G22" s="127"/>
      <c r="H22" s="127"/>
    </row>
    <row r="23" spans="1:8">
      <c r="A23" s="2" t="s">
        <v>275</v>
      </c>
      <c r="B23" s="122"/>
      <c r="C23" s="123"/>
      <c r="D23" s="123"/>
      <c r="E23" s="120"/>
      <c r="F23" s="120"/>
      <c r="G23" s="127"/>
      <c r="H23" s="127"/>
    </row>
    <row r="24" spans="1:8">
      <c r="A24" s="2" t="s">
        <v>276</v>
      </c>
      <c r="B24" s="122"/>
      <c r="C24" s="123"/>
      <c r="D24" s="123"/>
      <c r="E24" s="120"/>
      <c r="F24" s="120"/>
      <c r="G24" s="127"/>
      <c r="H24" s="127"/>
    </row>
    <row r="25" spans="1:8">
      <c r="A25" s="2" t="s">
        <v>541</v>
      </c>
      <c r="B25" s="122"/>
      <c r="C25" s="123"/>
      <c r="D25" s="123"/>
      <c r="E25" s="120"/>
      <c r="F25" s="120"/>
      <c r="G25" s="127"/>
      <c r="H25" s="127"/>
    </row>
    <row r="26" spans="1:8">
      <c r="A26" s="2" t="s">
        <v>277</v>
      </c>
      <c r="B26" s="122"/>
      <c r="C26" s="123"/>
      <c r="D26" s="123"/>
      <c r="E26" s="120"/>
      <c r="F26" s="120"/>
      <c r="G26" s="127"/>
      <c r="H26" s="127"/>
    </row>
    <row r="27" spans="1:8">
      <c r="A27" s="2" t="s">
        <v>278</v>
      </c>
      <c r="B27" s="124"/>
      <c r="C27" s="123"/>
      <c r="D27" s="123"/>
      <c r="E27" s="120"/>
      <c r="F27" s="120"/>
      <c r="G27" s="127"/>
      <c r="H27" s="127"/>
    </row>
    <row r="28" spans="1:8">
      <c r="A28" s="2" t="s">
        <v>279</v>
      </c>
      <c r="B28" s="124"/>
      <c r="C28" s="123"/>
      <c r="D28" s="123"/>
      <c r="E28" s="120"/>
      <c r="F28" s="120"/>
      <c r="G28" s="127"/>
      <c r="H28" s="127"/>
    </row>
    <row r="29" spans="1:8">
      <c r="A29" s="2" t="s">
        <v>280</v>
      </c>
      <c r="B29" s="124"/>
      <c r="C29" s="123"/>
      <c r="D29" s="123"/>
      <c r="E29" s="120"/>
      <c r="F29" s="120"/>
      <c r="G29" s="127"/>
      <c r="H29" s="127"/>
    </row>
    <row r="30" spans="1:8">
      <c r="A30" s="2" t="s">
        <v>281</v>
      </c>
      <c r="B30" s="124"/>
      <c r="C30" s="123"/>
      <c r="D30" s="123"/>
      <c r="E30" s="120"/>
      <c r="F30" s="120"/>
      <c r="G30" s="127"/>
      <c r="H30" s="127"/>
    </row>
    <row r="31" spans="1:8">
      <c r="A31" s="2" t="s">
        <v>282</v>
      </c>
      <c r="B31" s="124"/>
      <c r="C31" s="123"/>
      <c r="D31" s="123"/>
      <c r="E31" s="120"/>
      <c r="F31" s="120"/>
      <c r="G31" s="127"/>
      <c r="H31" s="127"/>
    </row>
    <row r="32" spans="1:8">
      <c r="A32" s="2" t="s">
        <v>677</v>
      </c>
      <c r="B32" s="124"/>
      <c r="C32" s="123"/>
      <c r="D32" s="123"/>
      <c r="E32" s="120"/>
      <c r="F32" s="120"/>
      <c r="G32" s="127"/>
      <c r="H32" s="127"/>
    </row>
    <row r="33" spans="1:8">
      <c r="A33" s="2" t="s">
        <v>283</v>
      </c>
      <c r="B33" s="124"/>
      <c r="C33" s="123"/>
      <c r="D33" s="123"/>
      <c r="E33" s="120"/>
      <c r="F33" s="120"/>
      <c r="G33" s="127"/>
      <c r="H33" s="127"/>
    </row>
    <row r="34" spans="1:8">
      <c r="A34" s="2" t="s">
        <v>284</v>
      </c>
      <c r="B34" s="124"/>
      <c r="C34" s="123"/>
      <c r="D34" s="123"/>
      <c r="E34" s="120"/>
      <c r="F34" s="120"/>
      <c r="G34" s="127"/>
      <c r="H34" s="127"/>
    </row>
    <row r="35" spans="1:8">
      <c r="A35" s="2" t="s">
        <v>285</v>
      </c>
      <c r="B35" s="124"/>
      <c r="C35" s="123"/>
      <c r="D35" s="123"/>
      <c r="E35" s="120"/>
      <c r="F35" s="120"/>
      <c r="G35" s="127"/>
      <c r="H35" s="127"/>
    </row>
    <row r="36" spans="1:8">
      <c r="A36" s="2" t="s">
        <v>286</v>
      </c>
      <c r="B36" s="124"/>
      <c r="C36" s="123"/>
      <c r="D36" s="123"/>
      <c r="E36" s="120"/>
      <c r="F36" s="120"/>
      <c r="G36" s="127"/>
      <c r="H36" s="127"/>
    </row>
    <row r="37" spans="1:8">
      <c r="A37" s="2" t="s">
        <v>287</v>
      </c>
      <c r="B37" s="124"/>
      <c r="C37" s="123"/>
      <c r="D37" s="123"/>
      <c r="E37" s="120"/>
      <c r="F37" s="120"/>
      <c r="G37" s="127"/>
      <c r="H37" s="127"/>
    </row>
    <row r="38" spans="1:8">
      <c r="A38" s="2" t="s">
        <v>835</v>
      </c>
      <c r="B38" s="124"/>
      <c r="C38" s="123"/>
      <c r="D38" s="123"/>
      <c r="E38" s="120"/>
      <c r="F38" s="120"/>
      <c r="G38" s="127"/>
      <c r="H38" s="127"/>
    </row>
    <row r="39" spans="1:8">
      <c r="A39" s="2" t="s">
        <v>836</v>
      </c>
      <c r="B39" s="124"/>
      <c r="C39" s="123"/>
      <c r="D39" s="123"/>
      <c r="E39" s="120"/>
    </row>
    <row r="40" spans="1:8">
      <c r="A40" s="2" t="s">
        <v>763</v>
      </c>
      <c r="B40" s="124"/>
      <c r="C40" s="123"/>
      <c r="D40" s="123"/>
      <c r="E40" s="120"/>
    </row>
    <row r="41" spans="1:8">
      <c r="A41" s="2" t="s">
        <v>764</v>
      </c>
      <c r="B41" s="124"/>
      <c r="C41" s="123"/>
      <c r="D41" s="123"/>
      <c r="E41" s="120"/>
    </row>
    <row r="42" spans="1:8">
      <c r="A42" s="2" t="s">
        <v>692</v>
      </c>
      <c r="B42" s="124"/>
      <c r="C42" s="123"/>
      <c r="D42" s="123"/>
      <c r="E42" s="120"/>
    </row>
    <row r="43" spans="1:8">
      <c r="A43" s="2" t="s">
        <v>678</v>
      </c>
      <c r="B43" s="124"/>
      <c r="C43" s="123"/>
      <c r="D43" s="123"/>
      <c r="E43" s="120"/>
    </row>
    <row r="44" spans="1:8">
      <c r="A44" s="2" t="s">
        <v>765</v>
      </c>
      <c r="B44" s="124"/>
      <c r="C44" s="123"/>
      <c r="D44" s="123"/>
      <c r="E44" s="120"/>
    </row>
    <row r="45" spans="1:8">
      <c r="A45" s="2" t="s">
        <v>766</v>
      </c>
      <c r="B45" s="124"/>
      <c r="C45" s="123"/>
      <c r="D45" s="123"/>
      <c r="E45" s="120"/>
    </row>
    <row r="46" spans="1:8">
      <c r="A46" s="2" t="s">
        <v>884</v>
      </c>
      <c r="B46" s="124"/>
      <c r="C46" s="123"/>
      <c r="D46" s="123"/>
      <c r="E46" s="120"/>
    </row>
    <row r="47" spans="1:8">
      <c r="A47" s="2" t="s">
        <v>885</v>
      </c>
      <c r="B47" s="124"/>
      <c r="C47" s="123"/>
      <c r="D47" s="123"/>
      <c r="E47" s="120"/>
    </row>
    <row r="48" spans="1:8">
      <c r="A48" s="2" t="s">
        <v>886</v>
      </c>
      <c r="B48" s="124"/>
      <c r="C48" s="123"/>
      <c r="D48" s="123"/>
      <c r="E48" s="120"/>
    </row>
    <row r="49" spans="1:5">
      <c r="A49" s="2" t="s">
        <v>887</v>
      </c>
      <c r="B49" s="124"/>
      <c r="C49" s="123"/>
      <c r="D49" s="123"/>
      <c r="E49" s="120"/>
    </row>
    <row r="50" spans="1:5">
      <c r="A50" s="2" t="s">
        <v>693</v>
      </c>
      <c r="B50" s="124"/>
      <c r="C50" s="123"/>
      <c r="D50" s="123"/>
      <c r="E50" s="120"/>
    </row>
    <row r="51" spans="1:5">
      <c r="A51" s="2" t="s">
        <v>694</v>
      </c>
      <c r="B51" s="124"/>
      <c r="C51" s="123"/>
      <c r="D51" s="123"/>
      <c r="E51" s="120"/>
    </row>
    <row r="52" spans="1:5">
      <c r="A52" s="2" t="s">
        <v>695</v>
      </c>
      <c r="B52" s="124"/>
      <c r="C52" s="123"/>
      <c r="D52" s="123"/>
      <c r="E52" s="120"/>
    </row>
    <row r="53" spans="1:5">
      <c r="A53" s="2" t="s">
        <v>696</v>
      </c>
      <c r="B53" s="120"/>
      <c r="C53" s="127"/>
      <c r="D53" s="127"/>
      <c r="E53" s="120"/>
    </row>
    <row r="54" spans="1:5">
      <c r="A54" s="2" t="s">
        <v>697</v>
      </c>
    </row>
    <row r="55" spans="1:5">
      <c r="A55" s="2" t="s">
        <v>698</v>
      </c>
    </row>
    <row r="56" spans="1:5">
      <c r="A56" s="2" t="s">
        <v>699</v>
      </c>
    </row>
    <row r="57" spans="1:5">
      <c r="A57" s="2" t="s">
        <v>700</v>
      </c>
    </row>
    <row r="58" spans="1:5">
      <c r="A58" s="2" t="s">
        <v>701</v>
      </c>
    </row>
    <row r="59" spans="1:5">
      <c r="A59" s="2" t="s">
        <v>679</v>
      </c>
    </row>
    <row r="60" spans="1:5">
      <c r="A60" s="2" t="s">
        <v>702</v>
      </c>
    </row>
    <row r="61" spans="1:5">
      <c r="A61" s="2" t="s">
        <v>601</v>
      </c>
    </row>
    <row r="62" spans="1:5">
      <c r="A62" s="2" t="s">
        <v>1086</v>
      </c>
    </row>
    <row r="63" spans="1:5">
      <c r="A63" s="2" t="s">
        <v>1087</v>
      </c>
    </row>
    <row r="64" spans="1:5">
      <c r="A64" s="2" t="s">
        <v>1088</v>
      </c>
    </row>
    <row r="65" spans="1:1">
      <c r="A65" s="2" t="s">
        <v>1089</v>
      </c>
    </row>
    <row r="66" spans="1:1">
      <c r="A66" s="2" t="s">
        <v>1090</v>
      </c>
    </row>
    <row r="67" spans="1:1">
      <c r="A67" s="2" t="s">
        <v>1091</v>
      </c>
    </row>
    <row r="68" spans="1:1">
      <c r="A68" s="2" t="s">
        <v>1092</v>
      </c>
    </row>
    <row r="69" spans="1:1">
      <c r="A69" s="2" t="s">
        <v>1093</v>
      </c>
    </row>
    <row r="70" spans="1:1">
      <c r="A70" s="2" t="s">
        <v>1094</v>
      </c>
    </row>
    <row r="71" spans="1:1">
      <c r="A71" s="2" t="s">
        <v>1095</v>
      </c>
    </row>
    <row r="72" spans="1:1">
      <c r="A72" s="2" t="s">
        <v>587</v>
      </c>
    </row>
    <row r="73" spans="1:1">
      <c r="A73" s="2" t="s">
        <v>588</v>
      </c>
    </row>
    <row r="74" spans="1:1">
      <c r="A74" s="2" t="s">
        <v>680</v>
      </c>
    </row>
    <row r="75" spans="1:1">
      <c r="A75" s="2" t="s">
        <v>681</v>
      </c>
    </row>
    <row r="76" spans="1:1">
      <c r="A76" s="2" t="s">
        <v>589</v>
      </c>
    </row>
    <row r="77" spans="1:1">
      <c r="A77" s="2" t="s">
        <v>1059</v>
      </c>
    </row>
    <row r="78" spans="1:1">
      <c r="A78" s="2" t="s">
        <v>590</v>
      </c>
    </row>
    <row r="79" spans="1:1">
      <c r="A79" s="2" t="s">
        <v>682</v>
      </c>
    </row>
    <row r="80" spans="1:1">
      <c r="A80" s="2" t="s">
        <v>683</v>
      </c>
    </row>
    <row r="81" spans="1:1">
      <c r="A81" s="2" t="s">
        <v>591</v>
      </c>
    </row>
    <row r="82" spans="1:1">
      <c r="A82" s="2" t="s">
        <v>592</v>
      </c>
    </row>
    <row r="83" spans="1:1">
      <c r="A83" s="2" t="s">
        <v>593</v>
      </c>
    </row>
    <row r="84" spans="1:1">
      <c r="A84" s="2" t="s">
        <v>684</v>
      </c>
    </row>
    <row r="85" spans="1:1">
      <c r="A85" s="2" t="s">
        <v>594</v>
      </c>
    </row>
    <row r="86" spans="1:1">
      <c r="A86" s="2" t="s">
        <v>595</v>
      </c>
    </row>
    <row r="87" spans="1:1">
      <c r="A87" s="2" t="s">
        <v>596</v>
      </c>
    </row>
    <row r="88" spans="1:1">
      <c r="A88" s="2" t="s">
        <v>597</v>
      </c>
    </row>
    <row r="89" spans="1:1">
      <c r="A89" s="2" t="s">
        <v>598</v>
      </c>
    </row>
    <row r="90" spans="1:1">
      <c r="A90" s="2" t="s">
        <v>1097</v>
      </c>
    </row>
    <row r="91" spans="1:1">
      <c r="A91" s="2" t="s">
        <v>1098</v>
      </c>
    </row>
    <row r="92" spans="1:1">
      <c r="A92" s="2" t="s">
        <v>760</v>
      </c>
    </row>
    <row r="93" spans="1:1">
      <c r="A93" s="2" t="s">
        <v>761</v>
      </c>
    </row>
    <row r="94" spans="1:1">
      <c r="A94" s="2" t="s">
        <v>336</v>
      </c>
    </row>
    <row r="95" spans="1:1">
      <c r="A95" s="2" t="s">
        <v>337</v>
      </c>
    </row>
    <row r="96" spans="1:1">
      <c r="A96" s="2" t="s">
        <v>338</v>
      </c>
    </row>
    <row r="97" spans="1:1">
      <c r="A97" s="2" t="s">
        <v>339</v>
      </c>
    </row>
    <row r="98" spans="1:1">
      <c r="A98" s="2" t="s">
        <v>340</v>
      </c>
    </row>
    <row r="99" spans="1:1">
      <c r="A99" s="2" t="s">
        <v>938</v>
      </c>
    </row>
    <row r="100" spans="1:1">
      <c r="A100" s="2" t="s">
        <v>253</v>
      </c>
    </row>
    <row r="101" spans="1:1">
      <c r="A101" s="2" t="s">
        <v>254</v>
      </c>
    </row>
    <row r="102" spans="1:1">
      <c r="A102" s="2" t="s">
        <v>255</v>
      </c>
    </row>
    <row r="103" spans="1:1">
      <c r="A103" s="2" t="s">
        <v>256</v>
      </c>
    </row>
    <row r="104" spans="1:1">
      <c r="A104" s="2" t="s">
        <v>257</v>
      </c>
    </row>
    <row r="105" spans="1:1">
      <c r="A105" s="2" t="s">
        <v>910</v>
      </c>
    </row>
    <row r="106" spans="1:1">
      <c r="A106" s="2" t="s">
        <v>911</v>
      </c>
    </row>
    <row r="107" spans="1:1">
      <c r="A107" s="2" t="s">
        <v>912</v>
      </c>
    </row>
    <row r="108" spans="1:1">
      <c r="A108" s="2" t="s">
        <v>685</v>
      </c>
    </row>
    <row r="109" spans="1:1">
      <c r="A109" s="2" t="s">
        <v>913</v>
      </c>
    </row>
    <row r="110" spans="1:1">
      <c r="A110" s="2" t="s">
        <v>914</v>
      </c>
    </row>
    <row r="111" spans="1:1">
      <c r="A111" s="2" t="s">
        <v>915</v>
      </c>
    </row>
    <row r="112" spans="1:1">
      <c r="A112" s="2" t="s">
        <v>916</v>
      </c>
    </row>
    <row r="113" spans="1:1">
      <c r="A113" s="2" t="s">
        <v>917</v>
      </c>
    </row>
    <row r="114" spans="1:1">
      <c r="A114" s="2" t="s">
        <v>918</v>
      </c>
    </row>
    <row r="115" spans="1:1">
      <c r="A115" s="2" t="s">
        <v>980</v>
      </c>
    </row>
    <row r="116" spans="1:1">
      <c r="A116" s="2" t="s">
        <v>981</v>
      </c>
    </row>
    <row r="117" spans="1:1">
      <c r="A117" s="2" t="s">
        <v>703</v>
      </c>
    </row>
  </sheetData>
  <sheetProtection password="C50C" sheet="1"/>
  <phoneticPr fontId="5" type="noConversion"/>
  <pageMargins left="0.75" right="0.75" top="1" bottom="1" header="0.5" footer="0.5"/>
  <pageSetup paperSize="9" orientation="portrait" r:id="rId1"/>
  <headerFooter alignWithMargins="0"/>
  <ignoredErrors>
    <ignoredError sqref="H2:H11" emptyCellReference="1"/>
  </ignoredErrors>
  <legacyDrawing r:id="rId2"/>
</worksheet>
</file>

<file path=xl/worksheets/sheet13.xml><?xml version="1.0" encoding="utf-8"?>
<worksheet xmlns="http://schemas.openxmlformats.org/spreadsheetml/2006/main" xmlns:r="http://schemas.openxmlformats.org/officeDocument/2006/relationships">
  <sheetPr codeName="Sheet5"/>
  <dimension ref="A1:G42"/>
  <sheetViews>
    <sheetView workbookViewId="0"/>
  </sheetViews>
  <sheetFormatPr defaultRowHeight="11.25"/>
  <cols>
    <col min="1" max="1" width="38.42578125" style="82" bestFit="1" customWidth="1"/>
    <col min="2" max="2" width="31.7109375" style="82" bestFit="1" customWidth="1"/>
    <col min="3" max="3" width="45.28515625" style="82" customWidth="1"/>
    <col min="4" max="4" width="9.140625" style="64"/>
    <col min="5" max="6" width="9.140625" style="3"/>
    <col min="7" max="7" width="50.28515625" style="3" customWidth="1"/>
    <col min="8" max="8" width="36.42578125" style="3" customWidth="1"/>
    <col min="9" max="16384" width="9.140625" style="3"/>
  </cols>
  <sheetData>
    <row r="1" spans="1:7">
      <c r="A1" s="82" t="s">
        <v>362</v>
      </c>
      <c r="G1" s="115" t="s">
        <v>989</v>
      </c>
    </row>
    <row r="2" spans="1:7">
      <c r="A2" s="58" t="s">
        <v>907</v>
      </c>
      <c r="B2" s="58" t="s">
        <v>676</v>
      </c>
      <c r="C2" s="58" t="s">
        <v>1025</v>
      </c>
      <c r="D2" s="64" t="s">
        <v>1026</v>
      </c>
      <c r="G2" s="3" t="s">
        <v>925</v>
      </c>
    </row>
    <row r="3" spans="1:7">
      <c r="A3" s="114" t="s">
        <v>1101</v>
      </c>
      <c r="B3" s="114" t="s">
        <v>1101</v>
      </c>
      <c r="C3" s="114" t="s">
        <v>345</v>
      </c>
      <c r="D3" s="3" t="s">
        <v>1030</v>
      </c>
      <c r="G3" s="3" t="s">
        <v>926</v>
      </c>
    </row>
    <row r="4" spans="1:7">
      <c r="A4" s="114" t="s">
        <v>534</v>
      </c>
      <c r="B4" s="114" t="s">
        <v>534</v>
      </c>
      <c r="C4" s="114" t="s">
        <v>517</v>
      </c>
      <c r="D4" s="3" t="s">
        <v>1030</v>
      </c>
      <c r="G4" s="3" t="s">
        <v>927</v>
      </c>
    </row>
    <row r="5" spans="1:7">
      <c r="A5" s="114" t="s">
        <v>360</v>
      </c>
      <c r="B5" s="114" t="s">
        <v>360</v>
      </c>
      <c r="C5" s="114" t="s">
        <v>518</v>
      </c>
      <c r="D5" s="3" t="s">
        <v>1030</v>
      </c>
      <c r="G5" s="3" t="s">
        <v>928</v>
      </c>
    </row>
    <row r="6" spans="1:7">
      <c r="A6" s="114" t="s">
        <v>541</v>
      </c>
      <c r="B6" s="114" t="s">
        <v>541</v>
      </c>
      <c r="C6" s="114" t="s">
        <v>542</v>
      </c>
      <c r="D6" s="3" t="s">
        <v>1030</v>
      </c>
      <c r="G6" s="3" t="s">
        <v>929</v>
      </c>
    </row>
    <row r="7" spans="1:7">
      <c r="A7" s="114" t="s">
        <v>863</v>
      </c>
      <c r="B7" s="114" t="s">
        <v>863</v>
      </c>
      <c r="C7" s="114" t="s">
        <v>191</v>
      </c>
      <c r="D7" s="3" t="s">
        <v>1030</v>
      </c>
      <c r="G7" s="3" t="s">
        <v>75</v>
      </c>
    </row>
    <row r="8" spans="1:7">
      <c r="A8" s="114" t="s">
        <v>519</v>
      </c>
      <c r="B8" s="114" t="s">
        <v>519</v>
      </c>
      <c r="C8" s="114" t="s">
        <v>3</v>
      </c>
      <c r="D8" s="3" t="s">
        <v>1030</v>
      </c>
      <c r="G8" s="3" t="s">
        <v>76</v>
      </c>
    </row>
    <row r="9" spans="1:7">
      <c r="A9" s="114" t="s">
        <v>865</v>
      </c>
      <c r="B9" s="114" t="s">
        <v>865</v>
      </c>
      <c r="C9" s="114" t="s">
        <v>345</v>
      </c>
      <c r="D9" s="3" t="s">
        <v>1030</v>
      </c>
      <c r="G9" s="3" t="s">
        <v>77</v>
      </c>
    </row>
    <row r="10" spans="1:7">
      <c r="A10" s="114" t="s">
        <v>864</v>
      </c>
      <c r="B10" s="114" t="s">
        <v>864</v>
      </c>
      <c r="C10" s="114" t="s">
        <v>345</v>
      </c>
      <c r="D10" s="3" t="s">
        <v>1030</v>
      </c>
      <c r="G10" s="3" t="s">
        <v>78</v>
      </c>
    </row>
    <row r="11" spans="1:7">
      <c r="A11" s="114" t="s">
        <v>868</v>
      </c>
      <c r="B11" s="114" t="s">
        <v>868</v>
      </c>
      <c r="C11" s="114" t="s">
        <v>3</v>
      </c>
      <c r="D11" s="3" t="s">
        <v>1030</v>
      </c>
      <c r="G11" s="3" t="s">
        <v>79</v>
      </c>
    </row>
    <row r="12" spans="1:7">
      <c r="A12" s="114" t="s">
        <v>779</v>
      </c>
      <c r="B12" s="114" t="s">
        <v>779</v>
      </c>
      <c r="C12" s="114" t="s">
        <v>425</v>
      </c>
      <c r="D12" s="3" t="s">
        <v>1030</v>
      </c>
      <c r="G12" s="3" t="s">
        <v>80</v>
      </c>
    </row>
    <row r="13" spans="1:7">
      <c r="A13" s="114" t="s">
        <v>922</v>
      </c>
      <c r="B13" s="114" t="s">
        <v>922</v>
      </c>
      <c r="C13" s="114" t="s">
        <v>425</v>
      </c>
      <c r="D13" s="3" t="s">
        <v>1030</v>
      </c>
      <c r="G13" s="3" t="s">
        <v>745</v>
      </c>
    </row>
    <row r="14" spans="1:7">
      <c r="A14" s="114" t="s">
        <v>582</v>
      </c>
      <c r="B14" s="114" t="s">
        <v>582</v>
      </c>
      <c r="C14" s="114" t="s">
        <v>191</v>
      </c>
      <c r="D14" s="3" t="s">
        <v>1030</v>
      </c>
      <c r="G14" s="3" t="s">
        <v>746</v>
      </c>
    </row>
    <row r="15" spans="1:7">
      <c r="A15" s="114" t="s">
        <v>63</v>
      </c>
      <c r="B15" s="114" t="s">
        <v>63</v>
      </c>
      <c r="C15" s="114" t="s">
        <v>191</v>
      </c>
      <c r="D15" s="3" t="s">
        <v>1030</v>
      </c>
      <c r="G15" s="3" t="s">
        <v>747</v>
      </c>
    </row>
    <row r="16" spans="1:7">
      <c r="A16" s="114" t="s">
        <v>923</v>
      </c>
      <c r="B16" s="114" t="s">
        <v>923</v>
      </c>
      <c r="C16" s="114" t="s">
        <v>425</v>
      </c>
      <c r="D16" s="3" t="s">
        <v>1030</v>
      </c>
      <c r="G16" s="3" t="s">
        <v>748</v>
      </c>
    </row>
    <row r="17" spans="1:7">
      <c r="A17" s="114" t="s">
        <v>0</v>
      </c>
      <c r="B17" s="114" t="s">
        <v>0</v>
      </c>
      <c r="C17" s="114" t="s">
        <v>425</v>
      </c>
      <c r="D17" s="3" t="s">
        <v>1030</v>
      </c>
      <c r="G17" s="3" t="s">
        <v>749</v>
      </c>
    </row>
    <row r="18" spans="1:7">
      <c r="A18" s="114" t="s">
        <v>223</v>
      </c>
      <c r="B18" s="114" t="s">
        <v>223</v>
      </c>
      <c r="C18" s="114" t="s">
        <v>345</v>
      </c>
      <c r="D18" s="3" t="s">
        <v>1030</v>
      </c>
      <c r="G18" s="3" t="s">
        <v>750</v>
      </c>
    </row>
    <row r="19" spans="1:7">
      <c r="A19" s="114" t="s">
        <v>752</v>
      </c>
      <c r="B19" s="114" t="s">
        <v>752</v>
      </c>
      <c r="C19" s="114" t="s">
        <v>346</v>
      </c>
      <c r="D19" s="3" t="s">
        <v>1030</v>
      </c>
      <c r="G19" s="3" t="s">
        <v>368</v>
      </c>
    </row>
    <row r="20" spans="1:7">
      <c r="A20" s="114" t="s">
        <v>599</v>
      </c>
      <c r="B20" s="114" t="s">
        <v>599</v>
      </c>
      <c r="C20" s="114" t="s">
        <v>191</v>
      </c>
      <c r="D20" s="3" t="s">
        <v>1030</v>
      </c>
      <c r="G20" s="3" t="s">
        <v>369</v>
      </c>
    </row>
    <row r="21" spans="1:7">
      <c r="A21" s="114" t="s">
        <v>535</v>
      </c>
      <c r="B21" s="114" t="s">
        <v>535</v>
      </c>
      <c r="C21" s="114" t="s">
        <v>345</v>
      </c>
      <c r="D21" s="3" t="s">
        <v>1030</v>
      </c>
      <c r="G21" s="3" t="s">
        <v>370</v>
      </c>
    </row>
    <row r="22" spans="1:7">
      <c r="A22" s="114" t="s">
        <v>583</v>
      </c>
      <c r="B22" s="114" t="s">
        <v>583</v>
      </c>
      <c r="C22" s="114" t="s">
        <v>345</v>
      </c>
      <c r="D22" s="3" t="s">
        <v>1030</v>
      </c>
      <c r="G22" s="3" t="s">
        <v>371</v>
      </c>
    </row>
    <row r="23" spans="1:7">
      <c r="A23" s="114" t="s">
        <v>73</v>
      </c>
      <c r="B23" s="114" t="s">
        <v>73</v>
      </c>
      <c r="C23" s="114" t="s">
        <v>345</v>
      </c>
      <c r="D23" s="3" t="s">
        <v>1030</v>
      </c>
      <c r="G23" s="3" t="s">
        <v>985</v>
      </c>
    </row>
    <row r="24" spans="1:7">
      <c r="A24" s="114" t="s">
        <v>584</v>
      </c>
      <c r="B24" s="114" t="s">
        <v>584</v>
      </c>
      <c r="C24" s="114" t="s">
        <v>345</v>
      </c>
      <c r="D24" s="3" t="s">
        <v>1030</v>
      </c>
      <c r="G24" s="3" t="s">
        <v>986</v>
      </c>
    </row>
    <row r="25" spans="1:7">
      <c r="A25" s="114" t="s">
        <v>1050</v>
      </c>
      <c r="B25" s="114" t="s">
        <v>1050</v>
      </c>
      <c r="C25" s="114" t="s">
        <v>345</v>
      </c>
      <c r="D25" s="3" t="s">
        <v>1030</v>
      </c>
      <c r="G25" s="3" t="s">
        <v>987</v>
      </c>
    </row>
    <row r="26" spans="1:7">
      <c r="A26" s="114" t="s">
        <v>1058</v>
      </c>
      <c r="B26" s="114" t="s">
        <v>1058</v>
      </c>
      <c r="C26" s="114" t="s">
        <v>346</v>
      </c>
      <c r="D26" s="3" t="s">
        <v>1030</v>
      </c>
      <c r="G26" s="3" t="s">
        <v>988</v>
      </c>
    </row>
    <row r="27" spans="1:7">
      <c r="A27" s="114" t="s">
        <v>753</v>
      </c>
      <c r="B27" s="114" t="s">
        <v>753</v>
      </c>
      <c r="C27" s="114" t="s">
        <v>346</v>
      </c>
      <c r="D27" s="3" t="s">
        <v>1030</v>
      </c>
    </row>
    <row r="28" spans="1:7">
      <c r="A28" s="114" t="s">
        <v>862</v>
      </c>
      <c r="B28" s="114" t="s">
        <v>862</v>
      </c>
      <c r="C28" s="114" t="s">
        <v>346</v>
      </c>
      <c r="D28" s="3" t="s">
        <v>1030</v>
      </c>
      <c r="G28" s="114"/>
    </row>
    <row r="29" spans="1:7">
      <c r="A29" s="114" t="s">
        <v>704</v>
      </c>
      <c r="B29" s="114" t="s">
        <v>704</v>
      </c>
      <c r="C29" s="114" t="s">
        <v>3</v>
      </c>
      <c r="D29" s="3" t="s">
        <v>1030</v>
      </c>
    </row>
    <row r="30" spans="1:7">
      <c r="A30" s="114" t="s">
        <v>924</v>
      </c>
      <c r="B30" s="114" t="s">
        <v>924</v>
      </c>
      <c r="C30" s="114" t="s">
        <v>425</v>
      </c>
      <c r="D30" s="3" t="s">
        <v>1030</v>
      </c>
    </row>
    <row r="31" spans="1:7">
      <c r="A31" s="114" t="s">
        <v>825</v>
      </c>
      <c r="B31" s="114" t="s">
        <v>825</v>
      </c>
      <c r="C31" s="114" t="s">
        <v>345</v>
      </c>
      <c r="D31" s="3" t="s">
        <v>1030</v>
      </c>
    </row>
    <row r="32" spans="1:7">
      <c r="A32" s="114" t="s">
        <v>851</v>
      </c>
      <c r="B32" s="114" t="s">
        <v>851</v>
      </c>
      <c r="C32" s="114" t="s">
        <v>191</v>
      </c>
      <c r="D32" s="3" t="s">
        <v>1030</v>
      </c>
    </row>
    <row r="33" spans="1:4">
      <c r="A33" s="114" t="s">
        <v>867</v>
      </c>
      <c r="B33" s="114" t="s">
        <v>867</v>
      </c>
      <c r="C33" s="114" t="s">
        <v>224</v>
      </c>
      <c r="D33" s="3" t="s">
        <v>1030</v>
      </c>
    </row>
    <row r="34" spans="1:4">
      <c r="A34" s="114" t="s">
        <v>866</v>
      </c>
      <c r="B34" s="114" t="s">
        <v>866</v>
      </c>
      <c r="C34" s="114" t="s">
        <v>345</v>
      </c>
      <c r="D34" s="3" t="s">
        <v>1030</v>
      </c>
    </row>
    <row r="35" spans="1:4" ht="22.5">
      <c r="A35" s="114" t="s">
        <v>869</v>
      </c>
      <c r="B35" s="114" t="s">
        <v>869</v>
      </c>
      <c r="C35" s="114" t="s">
        <v>517</v>
      </c>
      <c r="D35" s="3" t="s">
        <v>1030</v>
      </c>
    </row>
    <row r="36" spans="1:4" ht="22.5">
      <c r="A36" s="114" t="s">
        <v>870</v>
      </c>
      <c r="B36" s="114" t="s">
        <v>870</v>
      </c>
      <c r="C36" s="114" t="s">
        <v>518</v>
      </c>
      <c r="D36" s="3" t="s">
        <v>1030</v>
      </c>
    </row>
    <row r="37" spans="1:4" ht="22.5">
      <c r="A37" s="114" t="s">
        <v>871</v>
      </c>
      <c r="B37" s="114" t="s">
        <v>871</v>
      </c>
      <c r="C37" s="114" t="s">
        <v>3</v>
      </c>
      <c r="D37" s="3" t="s">
        <v>1030</v>
      </c>
    </row>
    <row r="38" spans="1:4" ht="22.5">
      <c r="A38" s="114" t="s">
        <v>872</v>
      </c>
      <c r="B38" s="114" t="s">
        <v>872</v>
      </c>
      <c r="C38" s="114" t="s">
        <v>425</v>
      </c>
      <c r="D38" s="3" t="s">
        <v>1030</v>
      </c>
    </row>
    <row r="39" spans="1:4">
      <c r="A39" s="114" t="s">
        <v>873</v>
      </c>
      <c r="B39" s="114" t="s">
        <v>873</v>
      </c>
      <c r="C39" s="114" t="s">
        <v>191</v>
      </c>
      <c r="D39" s="3" t="s">
        <v>1030</v>
      </c>
    </row>
    <row r="40" spans="1:4" ht="22.5">
      <c r="A40" s="114" t="s">
        <v>874</v>
      </c>
      <c r="B40" s="114" t="s">
        <v>874</v>
      </c>
      <c r="C40" s="114" t="s">
        <v>345</v>
      </c>
      <c r="D40" s="3" t="s">
        <v>1030</v>
      </c>
    </row>
    <row r="41" spans="1:4" ht="22.5">
      <c r="A41" s="114" t="s">
        <v>875</v>
      </c>
      <c r="B41" s="114" t="s">
        <v>875</v>
      </c>
      <c r="C41" s="114" t="s">
        <v>346</v>
      </c>
      <c r="D41" s="3" t="s">
        <v>1030</v>
      </c>
    </row>
    <row r="42" spans="1:4" ht="22.5">
      <c r="A42" s="114" t="s">
        <v>876</v>
      </c>
      <c r="B42" s="114" t="s">
        <v>876</v>
      </c>
      <c r="C42" s="114" t="s">
        <v>224</v>
      </c>
      <c r="D42" s="3" t="s">
        <v>1030</v>
      </c>
    </row>
  </sheetData>
  <sheetProtection password="C50C" sheet="1" objects="1" scenarios="1"/>
  <phoneticPr fontId="5" type="noConversion"/>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sheetPr codeName="Sheet1"/>
  <dimension ref="A1:E47"/>
  <sheetViews>
    <sheetView workbookViewId="0"/>
  </sheetViews>
  <sheetFormatPr defaultRowHeight="11.25"/>
  <cols>
    <col min="1" max="1" width="49" style="36" bestFit="1" customWidth="1"/>
    <col min="2" max="2" width="23.42578125" style="36" customWidth="1"/>
    <col min="3" max="3" width="16.5703125" style="36" bestFit="1" customWidth="1"/>
    <col min="4" max="4" width="26.85546875" style="36" bestFit="1" customWidth="1"/>
    <col min="5" max="5" width="10.7109375" style="36" bestFit="1" customWidth="1"/>
    <col min="6" max="16384" width="9.140625" style="36"/>
  </cols>
  <sheetData>
    <row r="1" spans="1:2">
      <c r="A1" s="90" t="s">
        <v>1055</v>
      </c>
      <c r="B1" s="63"/>
    </row>
    <row r="2" spans="1:2">
      <c r="A2" s="92" t="s">
        <v>529</v>
      </c>
      <c r="B2" s="91"/>
    </row>
    <row r="3" spans="1:2">
      <c r="A3" s="92" t="s">
        <v>530</v>
      </c>
      <c r="B3" s="62"/>
    </row>
    <row r="4" spans="1:2">
      <c r="A4" s="92" t="s">
        <v>531</v>
      </c>
      <c r="B4" s="62"/>
    </row>
    <row r="5" spans="1:2">
      <c r="A5" s="92" t="s">
        <v>532</v>
      </c>
      <c r="B5" s="62"/>
    </row>
    <row r="6" spans="1:2">
      <c r="A6" s="92" t="s">
        <v>533</v>
      </c>
      <c r="B6" s="63"/>
    </row>
    <row r="7" spans="1:2">
      <c r="A7" s="61"/>
    </row>
    <row r="8" spans="1:2">
      <c r="A8" s="36" t="s">
        <v>908</v>
      </c>
    </row>
    <row r="9" spans="1:2">
      <c r="A9" s="36" t="s">
        <v>1060</v>
      </c>
    </row>
    <row r="10" spans="1:2">
      <c r="A10" s="36" t="s">
        <v>1052</v>
      </c>
    </row>
    <row r="11" spans="1:2">
      <c r="A11" s="36" t="s">
        <v>185</v>
      </c>
    </row>
    <row r="12" spans="1:2">
      <c r="A12" s="36" t="s">
        <v>691</v>
      </c>
    </row>
    <row r="15" spans="1:2">
      <c r="A15" s="93" t="s">
        <v>22</v>
      </c>
    </row>
    <row r="16" spans="1:2">
      <c r="A16" s="36" t="s">
        <v>69</v>
      </c>
    </row>
    <row r="17" spans="1:5">
      <c r="A17" s="36" t="s">
        <v>1079</v>
      </c>
    </row>
    <row r="18" spans="1:5">
      <c r="A18" s="36" t="s">
        <v>1084</v>
      </c>
    </row>
    <row r="19" spans="1:5">
      <c r="A19" s="36" t="s">
        <v>1080</v>
      </c>
    </row>
    <row r="20" spans="1:5">
      <c r="A20" s="36" t="s">
        <v>1085</v>
      </c>
    </row>
    <row r="21" spans="1:5">
      <c r="A21" s="36" t="s">
        <v>848</v>
      </c>
    </row>
    <row r="22" spans="1:5">
      <c r="A22" s="36" t="s">
        <v>849</v>
      </c>
    </row>
    <row r="23" spans="1:5">
      <c r="A23" s="36" t="s">
        <v>494</v>
      </c>
    </row>
    <row r="24" spans="1:5">
      <c r="A24" s="36" t="s">
        <v>68</v>
      </c>
    </row>
    <row r="25" spans="1:5">
      <c r="A25" s="36" t="s">
        <v>847</v>
      </c>
    </row>
    <row r="26" spans="1:5">
      <c r="A26" s="36" t="s">
        <v>161</v>
      </c>
    </row>
    <row r="27" spans="1:5" ht="12" thickBot="1"/>
    <row r="28" spans="1:5">
      <c r="A28" s="38" t="s">
        <v>892</v>
      </c>
      <c r="B28" s="39" t="s">
        <v>610</v>
      </c>
      <c r="C28" s="40" t="s">
        <v>775</v>
      </c>
      <c r="D28" s="40" t="s">
        <v>212</v>
      </c>
      <c r="E28" s="41" t="s">
        <v>74</v>
      </c>
    </row>
    <row r="29" spans="1:5">
      <c r="A29" s="42" t="s">
        <v>1057</v>
      </c>
      <c r="B29" s="43" t="s">
        <v>906</v>
      </c>
      <c r="C29" s="44" t="s">
        <v>755</v>
      </c>
      <c r="D29" s="44" t="s">
        <v>334</v>
      </c>
      <c r="E29" s="45" t="s">
        <v>1052</v>
      </c>
    </row>
    <row r="30" spans="1:5">
      <c r="A30" s="42" t="s">
        <v>373</v>
      </c>
      <c r="B30" s="43" t="s">
        <v>906</v>
      </c>
      <c r="C30" s="44" t="s">
        <v>125</v>
      </c>
      <c r="D30" s="44" t="s">
        <v>334</v>
      </c>
      <c r="E30" s="45" t="s">
        <v>1052</v>
      </c>
    </row>
    <row r="31" spans="1:5">
      <c r="A31" s="42" t="s">
        <v>374</v>
      </c>
      <c r="B31" s="43" t="s">
        <v>906</v>
      </c>
      <c r="C31" s="44" t="s">
        <v>124</v>
      </c>
      <c r="D31" s="44" t="s">
        <v>334</v>
      </c>
      <c r="E31" s="45" t="s">
        <v>1052</v>
      </c>
    </row>
    <row r="32" spans="1:5">
      <c r="A32" s="42" t="s">
        <v>832</v>
      </c>
      <c r="B32" s="43" t="s">
        <v>906</v>
      </c>
      <c r="C32" s="44" t="s">
        <v>990</v>
      </c>
      <c r="D32" s="44" t="s">
        <v>334</v>
      </c>
      <c r="E32" s="45" t="s">
        <v>1052</v>
      </c>
    </row>
    <row r="33" spans="1:5" ht="12" thickBot="1">
      <c r="A33" s="46" t="s">
        <v>343</v>
      </c>
      <c r="B33" s="47" t="s">
        <v>906</v>
      </c>
      <c r="C33" s="48" t="s">
        <v>754</v>
      </c>
      <c r="D33" s="48" t="s">
        <v>334</v>
      </c>
      <c r="E33" s="49" t="s">
        <v>1052</v>
      </c>
    </row>
    <row r="34" spans="1:5" ht="12" thickBot="1"/>
    <row r="35" spans="1:5">
      <c r="A35" s="38" t="s">
        <v>893</v>
      </c>
      <c r="B35" s="39" t="s">
        <v>610</v>
      </c>
      <c r="C35" s="40" t="s">
        <v>775</v>
      </c>
      <c r="D35" s="40" t="s">
        <v>212</v>
      </c>
      <c r="E35" s="41" t="s">
        <v>74</v>
      </c>
    </row>
    <row r="36" spans="1:5">
      <c r="A36" s="42" t="s">
        <v>1057</v>
      </c>
      <c r="B36" s="43" t="s">
        <v>906</v>
      </c>
      <c r="C36" s="44" t="s">
        <v>755</v>
      </c>
      <c r="D36" s="44" t="s">
        <v>958</v>
      </c>
      <c r="E36" s="45" t="s">
        <v>1052</v>
      </c>
    </row>
    <row r="37" spans="1:5">
      <c r="A37" s="42" t="s">
        <v>373</v>
      </c>
      <c r="B37" s="43" t="s">
        <v>906</v>
      </c>
      <c r="C37" s="44" t="s">
        <v>125</v>
      </c>
      <c r="D37" s="44" t="s">
        <v>958</v>
      </c>
      <c r="E37" s="45" t="s">
        <v>1052</v>
      </c>
    </row>
    <row r="38" spans="1:5">
      <c r="A38" s="42" t="s">
        <v>374</v>
      </c>
      <c r="B38" s="43" t="s">
        <v>906</v>
      </c>
      <c r="C38" s="44" t="s">
        <v>124</v>
      </c>
      <c r="D38" s="44" t="s">
        <v>958</v>
      </c>
      <c r="E38" s="45" t="s">
        <v>1052</v>
      </c>
    </row>
    <row r="39" spans="1:5">
      <c r="A39" s="42" t="s">
        <v>832</v>
      </c>
      <c r="B39" s="43" t="s">
        <v>906</v>
      </c>
      <c r="C39" s="44" t="s">
        <v>990</v>
      </c>
      <c r="D39" s="44" t="s">
        <v>958</v>
      </c>
      <c r="E39" s="45" t="s">
        <v>1052</v>
      </c>
    </row>
    <row r="40" spans="1:5" ht="12" thickBot="1">
      <c r="A40" s="46" t="s">
        <v>343</v>
      </c>
      <c r="B40" s="47" t="s">
        <v>906</v>
      </c>
      <c r="C40" s="48" t="s">
        <v>754</v>
      </c>
      <c r="D40" s="48" t="s">
        <v>958</v>
      </c>
      <c r="E40" s="49" t="s">
        <v>1052</v>
      </c>
    </row>
    <row r="43" spans="1:5">
      <c r="A43" s="63" t="s">
        <v>372</v>
      </c>
    </row>
    <row r="45" spans="1:5">
      <c r="A45" s="36" t="s">
        <v>854</v>
      </c>
    </row>
    <row r="46" spans="1:5">
      <c r="A46" s="36" t="s">
        <v>855</v>
      </c>
    </row>
    <row r="47" spans="1:5">
      <c r="A47" s="36" t="s">
        <v>293</v>
      </c>
    </row>
  </sheetData>
  <sheetProtection password="C50C" sheet="1" objects="1" scenarios="1"/>
  <phoneticPr fontId="5" type="noConversion"/>
  <dataValidations count="4">
    <dataValidation type="list" allowBlank="1" showInputMessage="1" showErrorMessage="1" sqref="B29:B33 B36:B40">
      <formula1>"AU,IN"</formula1>
    </dataValidation>
    <dataValidation type="list" allowBlank="1" showInputMessage="1" showErrorMessage="1" sqref="D29:D33 D36:D40">
      <formula1>nonlabourSC</formula1>
    </dataValidation>
    <dataValidation type="list" allowBlank="1" showInputMessage="1" showErrorMessage="1" sqref="E29:E33 E36:E40">
      <formula1>rectypes</formula1>
    </dataValidation>
    <dataValidation type="list" allowBlank="1" showInputMessage="1" showErrorMessage="1" sqref="C29:C33 C36:C40 A15">
      <formula1>BUSTYPE</formula1>
    </dataValidation>
  </dataValidations>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sheetPr codeName="Sheet6"/>
  <dimension ref="A1:G143"/>
  <sheetViews>
    <sheetView workbookViewId="0">
      <selection activeCell="C8" sqref="C8"/>
    </sheetView>
  </sheetViews>
  <sheetFormatPr defaultRowHeight="11.25"/>
  <cols>
    <col min="1" max="1" width="27.85546875" style="66" customWidth="1"/>
    <col min="2" max="2" width="37" style="66" customWidth="1"/>
    <col min="3" max="3" width="40.140625" style="66" customWidth="1"/>
    <col min="4" max="4" width="10.85546875" style="66" customWidth="1"/>
    <col min="5" max="5" width="17.7109375" style="66" customWidth="1"/>
    <col min="6" max="6" width="10" style="66" customWidth="1"/>
    <col min="7" max="16384" width="9.140625" style="66"/>
  </cols>
  <sheetData>
    <row r="1" spans="1:7">
      <c r="B1" s="86" t="s">
        <v>608</v>
      </c>
    </row>
    <row r="2" spans="1:7">
      <c r="A2" s="65" t="s">
        <v>907</v>
      </c>
      <c r="B2" s="65" t="s">
        <v>1024</v>
      </c>
      <c r="C2" s="65" t="s">
        <v>1025</v>
      </c>
      <c r="D2" s="65" t="s">
        <v>1026</v>
      </c>
      <c r="E2" s="65" t="s">
        <v>163</v>
      </c>
      <c r="F2" s="65" t="s">
        <v>164</v>
      </c>
      <c r="G2" s="65" t="s">
        <v>190</v>
      </c>
    </row>
    <row r="3" spans="1:7">
      <c r="A3" s="114" t="s">
        <v>436</v>
      </c>
      <c r="B3" s="114" t="s">
        <v>436</v>
      </c>
      <c r="C3" s="114" t="s">
        <v>345</v>
      </c>
      <c r="D3" s="114" t="s">
        <v>609</v>
      </c>
      <c r="E3" s="114" t="s">
        <v>675</v>
      </c>
      <c r="F3" s="114">
        <v>0.71</v>
      </c>
      <c r="G3" s="114" t="s">
        <v>906</v>
      </c>
    </row>
    <row r="4" spans="1:7">
      <c r="A4" s="114" t="s">
        <v>547</v>
      </c>
      <c r="B4" s="114" t="s">
        <v>547</v>
      </c>
      <c r="C4" s="114" t="s">
        <v>345</v>
      </c>
      <c r="D4" s="114" t="s">
        <v>833</v>
      </c>
      <c r="E4" s="114" t="s">
        <v>354</v>
      </c>
      <c r="F4" s="114">
        <v>0.04</v>
      </c>
      <c r="G4" s="114" t="s">
        <v>906</v>
      </c>
    </row>
    <row r="5" spans="1:7">
      <c r="A5" s="114" t="s">
        <v>437</v>
      </c>
      <c r="B5" s="114" t="s">
        <v>437</v>
      </c>
      <c r="C5" s="114" t="s">
        <v>345</v>
      </c>
      <c r="D5" s="114" t="s">
        <v>833</v>
      </c>
      <c r="E5" s="114" t="s">
        <v>675</v>
      </c>
      <c r="F5" s="114">
        <v>1.6E-2</v>
      </c>
      <c r="G5" s="114" t="s">
        <v>906</v>
      </c>
    </row>
    <row r="6" spans="1:7">
      <c r="A6" s="114" t="s">
        <v>438</v>
      </c>
      <c r="B6" s="114" t="s">
        <v>438</v>
      </c>
      <c r="C6" s="114" t="s">
        <v>345</v>
      </c>
      <c r="D6" s="114" t="s">
        <v>833</v>
      </c>
      <c r="E6" s="114" t="s">
        <v>354</v>
      </c>
      <c r="F6" s="114">
        <v>0.01</v>
      </c>
      <c r="G6" s="114" t="s">
        <v>906</v>
      </c>
    </row>
    <row r="7" spans="1:7">
      <c r="A7" s="114" t="s">
        <v>925</v>
      </c>
      <c r="B7" s="114" t="s">
        <v>925</v>
      </c>
      <c r="C7" s="114" t="s">
        <v>345</v>
      </c>
      <c r="D7" s="114"/>
      <c r="E7" s="114"/>
      <c r="F7" s="114"/>
      <c r="G7" s="114"/>
    </row>
    <row r="8" spans="1:7">
      <c r="A8" s="114" t="s">
        <v>439</v>
      </c>
      <c r="B8" s="114" t="s">
        <v>439</v>
      </c>
      <c r="C8" s="114" t="s">
        <v>346</v>
      </c>
      <c r="D8" s="114" t="s">
        <v>1031</v>
      </c>
      <c r="E8" s="114" t="s">
        <v>903</v>
      </c>
      <c r="F8" s="114">
        <v>17.489999999999998</v>
      </c>
      <c r="G8" s="114" t="s">
        <v>906</v>
      </c>
    </row>
    <row r="9" spans="1:7">
      <c r="A9" s="114" t="s">
        <v>243</v>
      </c>
      <c r="B9" s="114" t="s">
        <v>243</v>
      </c>
      <c r="C9" s="114" t="s">
        <v>345</v>
      </c>
      <c r="D9" s="114" t="s">
        <v>1031</v>
      </c>
      <c r="E9" s="114" t="s">
        <v>244</v>
      </c>
      <c r="F9" s="114">
        <v>829.07</v>
      </c>
      <c r="G9" s="114" t="s">
        <v>906</v>
      </c>
    </row>
    <row r="10" spans="1:7">
      <c r="A10" s="114" t="s">
        <v>245</v>
      </c>
      <c r="B10" s="114" t="s">
        <v>245</v>
      </c>
      <c r="C10" s="114" t="s">
        <v>345</v>
      </c>
      <c r="D10" s="114" t="s">
        <v>1031</v>
      </c>
      <c r="E10" s="114" t="s">
        <v>244</v>
      </c>
      <c r="F10" s="114">
        <v>231.99</v>
      </c>
      <c r="G10" s="114" t="s">
        <v>906</v>
      </c>
    </row>
    <row r="11" spans="1:7">
      <c r="A11" s="114" t="s">
        <v>522</v>
      </c>
      <c r="B11" s="114" t="s">
        <v>522</v>
      </c>
      <c r="C11" s="114" t="s">
        <v>345</v>
      </c>
      <c r="D11" s="114" t="s">
        <v>1031</v>
      </c>
      <c r="E11" s="114" t="s">
        <v>244</v>
      </c>
      <c r="F11" s="114">
        <v>26.4</v>
      </c>
      <c r="G11" s="114" t="s">
        <v>906</v>
      </c>
    </row>
    <row r="12" spans="1:7">
      <c r="A12" s="114" t="s">
        <v>440</v>
      </c>
      <c r="B12" s="114" t="s">
        <v>440</v>
      </c>
      <c r="C12" s="114" t="s">
        <v>345</v>
      </c>
      <c r="D12" s="114" t="s">
        <v>1027</v>
      </c>
      <c r="E12" s="114" t="s">
        <v>1028</v>
      </c>
      <c r="F12" s="114">
        <v>56.67</v>
      </c>
      <c r="G12" s="114" t="s">
        <v>906</v>
      </c>
    </row>
    <row r="13" spans="1:7">
      <c r="A13" s="114" t="s">
        <v>520</v>
      </c>
      <c r="B13" s="114" t="s">
        <v>520</v>
      </c>
      <c r="C13" s="114" t="s">
        <v>3</v>
      </c>
      <c r="D13" s="114" t="s">
        <v>670</v>
      </c>
      <c r="E13" s="114" t="s">
        <v>843</v>
      </c>
      <c r="F13" s="114">
        <v>28.43</v>
      </c>
      <c r="G13" s="114" t="s">
        <v>906</v>
      </c>
    </row>
    <row r="14" spans="1:7">
      <c r="A14" s="114" t="s">
        <v>521</v>
      </c>
      <c r="B14" s="114" t="s">
        <v>521</v>
      </c>
      <c r="C14" s="114" t="s">
        <v>3</v>
      </c>
      <c r="D14" s="114" t="s">
        <v>670</v>
      </c>
      <c r="E14" s="114" t="s">
        <v>843</v>
      </c>
      <c r="F14" s="114">
        <v>21.55</v>
      </c>
      <c r="G14" s="114" t="s">
        <v>906</v>
      </c>
    </row>
    <row r="15" spans="1:7">
      <c r="A15" s="114" t="s">
        <v>348</v>
      </c>
      <c r="B15" s="114" t="s">
        <v>348</v>
      </c>
      <c r="C15" s="114" t="s">
        <v>345</v>
      </c>
      <c r="D15" s="114" t="s">
        <v>1027</v>
      </c>
      <c r="E15" s="114" t="s">
        <v>1029</v>
      </c>
      <c r="F15" s="114">
        <v>14.53</v>
      </c>
      <c r="G15" s="114" t="s">
        <v>906</v>
      </c>
    </row>
    <row r="16" spans="1:7">
      <c r="A16" s="114" t="s">
        <v>349</v>
      </c>
      <c r="B16" s="114" t="s">
        <v>349</v>
      </c>
      <c r="C16" s="114" t="s">
        <v>345</v>
      </c>
      <c r="D16" s="114" t="s">
        <v>1027</v>
      </c>
      <c r="E16" s="114" t="s">
        <v>1028</v>
      </c>
      <c r="F16" s="114">
        <v>58.03</v>
      </c>
      <c r="G16" s="114" t="s">
        <v>906</v>
      </c>
    </row>
    <row r="17" spans="1:7">
      <c r="A17" s="114" t="s">
        <v>611</v>
      </c>
      <c r="B17" s="114" t="s">
        <v>611</v>
      </c>
      <c r="C17" s="114" t="s">
        <v>517</v>
      </c>
      <c r="D17" s="114" t="s">
        <v>1031</v>
      </c>
      <c r="E17" s="114" t="s">
        <v>840</v>
      </c>
      <c r="F17" s="114">
        <v>8</v>
      </c>
      <c r="G17" s="114" t="s">
        <v>906</v>
      </c>
    </row>
    <row r="18" spans="1:7">
      <c r="A18" s="1" t="s">
        <v>441</v>
      </c>
      <c r="B18" s="1" t="s">
        <v>441</v>
      </c>
      <c r="C18" s="114" t="s">
        <v>425</v>
      </c>
      <c r="D18" s="114" t="s">
        <v>833</v>
      </c>
      <c r="E18" s="114" t="s">
        <v>355</v>
      </c>
      <c r="F18" s="114">
        <v>2575.58</v>
      </c>
      <c r="G18" s="114" t="s">
        <v>906</v>
      </c>
    </row>
    <row r="19" spans="1:7">
      <c r="A19" s="1" t="s">
        <v>442</v>
      </c>
      <c r="B19" s="1" t="s">
        <v>442</v>
      </c>
      <c r="C19" s="114" t="s">
        <v>425</v>
      </c>
      <c r="D19" s="114" t="s">
        <v>833</v>
      </c>
      <c r="E19" s="114" t="s">
        <v>355</v>
      </c>
      <c r="F19" s="114">
        <v>1287.79</v>
      </c>
      <c r="G19" s="114" t="s">
        <v>906</v>
      </c>
    </row>
    <row r="20" spans="1:7">
      <c r="A20" s="1" t="s">
        <v>443</v>
      </c>
      <c r="B20" s="1" t="s">
        <v>443</v>
      </c>
      <c r="C20" s="114" t="s">
        <v>425</v>
      </c>
      <c r="D20" s="114" t="s">
        <v>833</v>
      </c>
      <c r="E20" s="114" t="s">
        <v>355</v>
      </c>
      <c r="F20" s="114">
        <v>1287.79</v>
      </c>
      <c r="G20" s="114" t="s">
        <v>906</v>
      </c>
    </row>
    <row r="21" spans="1:7">
      <c r="A21" s="1" t="s">
        <v>444</v>
      </c>
      <c r="B21" s="1" t="s">
        <v>444</v>
      </c>
      <c r="C21" s="114" t="s">
        <v>425</v>
      </c>
      <c r="D21" s="114" t="s">
        <v>833</v>
      </c>
      <c r="E21" s="114" t="s">
        <v>355</v>
      </c>
      <c r="F21" s="114">
        <v>643.9</v>
      </c>
      <c r="G21" s="114" t="s">
        <v>906</v>
      </c>
    </row>
    <row r="22" spans="1:7">
      <c r="A22" s="1" t="s">
        <v>445</v>
      </c>
      <c r="B22" s="1" t="s">
        <v>445</v>
      </c>
      <c r="C22" s="114" t="s">
        <v>425</v>
      </c>
      <c r="D22" s="114" t="s">
        <v>833</v>
      </c>
      <c r="E22" s="114" t="s">
        <v>355</v>
      </c>
      <c r="F22" s="114">
        <v>3181.65</v>
      </c>
      <c r="G22" s="114" t="s">
        <v>906</v>
      </c>
    </row>
    <row r="23" spans="1:7">
      <c r="A23" s="1" t="s">
        <v>446</v>
      </c>
      <c r="B23" s="1" t="s">
        <v>446</v>
      </c>
      <c r="C23" s="114" t="s">
        <v>425</v>
      </c>
      <c r="D23" s="114" t="s">
        <v>833</v>
      </c>
      <c r="E23" s="114" t="s">
        <v>355</v>
      </c>
      <c r="F23" s="114">
        <v>1590.82</v>
      </c>
      <c r="G23" s="114" t="s">
        <v>906</v>
      </c>
    </row>
    <row r="24" spans="1:7">
      <c r="A24" s="1" t="s">
        <v>447</v>
      </c>
      <c r="B24" s="1" t="s">
        <v>447</v>
      </c>
      <c r="C24" s="114" t="s">
        <v>425</v>
      </c>
      <c r="D24" s="114" t="s">
        <v>833</v>
      </c>
      <c r="E24" s="114" t="s">
        <v>355</v>
      </c>
      <c r="F24" s="114">
        <v>1590.82</v>
      </c>
      <c r="G24" s="114" t="s">
        <v>906</v>
      </c>
    </row>
    <row r="25" spans="1:7">
      <c r="A25" s="1" t="s">
        <v>448</v>
      </c>
      <c r="B25" s="1" t="s">
        <v>448</v>
      </c>
      <c r="C25" s="114" t="s">
        <v>425</v>
      </c>
      <c r="D25" s="114" t="s">
        <v>833</v>
      </c>
      <c r="E25" s="114" t="s">
        <v>355</v>
      </c>
      <c r="F25" s="114">
        <v>795.41</v>
      </c>
      <c r="G25" s="114" t="s">
        <v>906</v>
      </c>
    </row>
    <row r="26" spans="1:7">
      <c r="A26" s="114" t="s">
        <v>463</v>
      </c>
      <c r="B26" s="114" t="s">
        <v>463</v>
      </c>
      <c r="C26" s="114" t="s">
        <v>346</v>
      </c>
      <c r="D26" s="114" t="s">
        <v>1031</v>
      </c>
      <c r="E26" s="114" t="s">
        <v>834</v>
      </c>
      <c r="F26" s="114">
        <v>1.2</v>
      </c>
      <c r="G26" s="114" t="s">
        <v>906</v>
      </c>
    </row>
    <row r="27" spans="1:7">
      <c r="A27" s="114" t="s">
        <v>841</v>
      </c>
      <c r="B27" s="114" t="s">
        <v>841</v>
      </c>
      <c r="C27" s="114" t="s">
        <v>346</v>
      </c>
      <c r="D27" s="114" t="s">
        <v>1031</v>
      </c>
      <c r="E27" s="114" t="s">
        <v>356</v>
      </c>
      <c r="F27" s="114">
        <v>0.11</v>
      </c>
      <c r="G27" s="114" t="s">
        <v>906</v>
      </c>
    </row>
    <row r="28" spans="1:7">
      <c r="A28" s="1" t="s">
        <v>449</v>
      </c>
      <c r="B28" s="1" t="s">
        <v>449</v>
      </c>
      <c r="C28" s="114" t="s">
        <v>345</v>
      </c>
      <c r="D28" s="1" t="s">
        <v>673</v>
      </c>
      <c r="E28" s="1" t="s">
        <v>675</v>
      </c>
      <c r="F28" s="114">
        <v>0.59</v>
      </c>
      <c r="G28" s="114" t="s">
        <v>906</v>
      </c>
    </row>
    <row r="29" spans="1:7">
      <c r="A29" s="114" t="s">
        <v>450</v>
      </c>
      <c r="B29" s="114" t="s">
        <v>450</v>
      </c>
      <c r="C29" s="114" t="s">
        <v>345</v>
      </c>
      <c r="D29" s="114" t="s">
        <v>1031</v>
      </c>
      <c r="E29" s="114" t="s">
        <v>159</v>
      </c>
      <c r="F29" s="114">
        <v>13.88</v>
      </c>
      <c r="G29" s="114" t="s">
        <v>906</v>
      </c>
    </row>
    <row r="30" spans="1:7">
      <c r="A30" s="114" t="s">
        <v>350</v>
      </c>
      <c r="B30" s="114" t="s">
        <v>350</v>
      </c>
      <c r="C30" s="114" t="s">
        <v>345</v>
      </c>
      <c r="D30" s="114" t="s">
        <v>1031</v>
      </c>
      <c r="E30" s="114" t="s">
        <v>158</v>
      </c>
      <c r="F30" s="114">
        <v>37.86</v>
      </c>
      <c r="G30" s="114" t="s">
        <v>906</v>
      </c>
    </row>
    <row r="31" spans="1:7">
      <c r="A31" s="114" t="s">
        <v>997</v>
      </c>
      <c r="B31" s="114" t="s">
        <v>997</v>
      </c>
      <c r="C31" s="114" t="s">
        <v>346</v>
      </c>
      <c r="D31" s="114" t="s">
        <v>1031</v>
      </c>
      <c r="E31" s="114" t="s">
        <v>844</v>
      </c>
      <c r="F31" s="114">
        <v>511.16</v>
      </c>
      <c r="G31" s="114" t="s">
        <v>906</v>
      </c>
    </row>
    <row r="32" spans="1:7" ht="22.5">
      <c r="A32" s="114" t="s">
        <v>27</v>
      </c>
      <c r="B32" s="114" t="s">
        <v>27</v>
      </c>
      <c r="C32" s="114" t="s">
        <v>346</v>
      </c>
      <c r="D32" s="114" t="s">
        <v>1031</v>
      </c>
      <c r="E32" s="114" t="s">
        <v>845</v>
      </c>
      <c r="F32" s="114">
        <v>1.95</v>
      </c>
      <c r="G32" s="114" t="s">
        <v>906</v>
      </c>
    </row>
    <row r="33" spans="1:7">
      <c r="A33" s="114" t="s">
        <v>28</v>
      </c>
      <c r="B33" s="114" t="s">
        <v>28</v>
      </c>
      <c r="C33" s="114" t="s">
        <v>346</v>
      </c>
      <c r="D33" s="114" t="s">
        <v>1031</v>
      </c>
      <c r="E33" s="114" t="s">
        <v>846</v>
      </c>
      <c r="F33" s="114">
        <v>0.26</v>
      </c>
      <c r="G33" s="114" t="s">
        <v>906</v>
      </c>
    </row>
    <row r="34" spans="1:7" ht="22.5">
      <c r="A34" s="114" t="s">
        <v>926</v>
      </c>
      <c r="B34" s="114" t="s">
        <v>926</v>
      </c>
      <c r="C34" s="114" t="s">
        <v>3</v>
      </c>
      <c r="D34" s="114"/>
      <c r="G34" s="114"/>
    </row>
    <row r="35" spans="1:7" ht="22.5">
      <c r="A35" s="114" t="s">
        <v>927</v>
      </c>
      <c r="B35" s="114" t="s">
        <v>927</v>
      </c>
      <c r="C35" s="114" t="s">
        <v>425</v>
      </c>
      <c r="D35" s="114"/>
      <c r="G35" s="114"/>
    </row>
    <row r="36" spans="1:7" ht="22.5">
      <c r="A36" s="114" t="s">
        <v>928</v>
      </c>
      <c r="B36" s="114" t="s">
        <v>928</v>
      </c>
      <c r="C36" s="114" t="s">
        <v>345</v>
      </c>
      <c r="D36" s="114"/>
      <c r="G36" s="114"/>
    </row>
    <row r="37" spans="1:7" ht="22.5">
      <c r="A37" s="114" t="s">
        <v>929</v>
      </c>
      <c r="B37" s="114" t="s">
        <v>929</v>
      </c>
      <c r="C37" s="114" t="s">
        <v>3</v>
      </c>
      <c r="D37" s="114"/>
      <c r="E37" s="230"/>
      <c r="G37" s="114"/>
    </row>
    <row r="38" spans="1:7" ht="22.5">
      <c r="A38" s="114" t="s">
        <v>75</v>
      </c>
      <c r="B38" s="114" t="s">
        <v>75</v>
      </c>
      <c r="C38" s="114" t="s">
        <v>425</v>
      </c>
      <c r="D38" s="114"/>
      <c r="E38" s="114"/>
      <c r="F38" s="114"/>
      <c r="G38" s="114"/>
    </row>
    <row r="39" spans="1:7" ht="22.5">
      <c r="A39" s="114" t="s">
        <v>76</v>
      </c>
      <c r="B39" s="114" t="s">
        <v>76</v>
      </c>
      <c r="C39" s="114" t="s">
        <v>345</v>
      </c>
      <c r="D39" s="114"/>
      <c r="E39" s="114"/>
      <c r="F39" s="114"/>
      <c r="G39" s="114"/>
    </row>
    <row r="40" spans="1:7" ht="22.5">
      <c r="A40" s="114" t="s">
        <v>77</v>
      </c>
      <c r="B40" s="114" t="s">
        <v>77</v>
      </c>
      <c r="C40" s="114" t="s">
        <v>3</v>
      </c>
      <c r="D40" s="114"/>
      <c r="E40" s="114"/>
      <c r="F40" s="114"/>
      <c r="G40" s="114"/>
    </row>
    <row r="41" spans="1:7" ht="22.5">
      <c r="A41" s="114" t="s">
        <v>78</v>
      </c>
      <c r="B41" s="114" t="s">
        <v>78</v>
      </c>
      <c r="C41" s="114" t="s">
        <v>425</v>
      </c>
      <c r="D41" s="114"/>
      <c r="E41" s="114"/>
      <c r="F41" s="114"/>
      <c r="G41" s="114"/>
    </row>
    <row r="42" spans="1:7" ht="22.5">
      <c r="A42" s="114" t="s">
        <v>79</v>
      </c>
      <c r="B42" s="114" t="s">
        <v>79</v>
      </c>
      <c r="C42" s="114" t="s">
        <v>345</v>
      </c>
      <c r="D42" s="114"/>
      <c r="E42" s="114"/>
      <c r="F42" s="114"/>
      <c r="G42" s="114"/>
    </row>
    <row r="43" spans="1:7" ht="22.5">
      <c r="A43" s="114" t="s">
        <v>80</v>
      </c>
      <c r="B43" s="114" t="s">
        <v>80</v>
      </c>
      <c r="C43" s="114" t="s">
        <v>3</v>
      </c>
      <c r="D43" s="114"/>
      <c r="E43" s="114"/>
      <c r="F43" s="114"/>
      <c r="G43" s="114"/>
    </row>
    <row r="44" spans="1:7" ht="22.5">
      <c r="A44" s="114" t="s">
        <v>745</v>
      </c>
      <c r="B44" s="114" t="s">
        <v>745</v>
      </c>
      <c r="C44" s="114" t="s">
        <v>425</v>
      </c>
      <c r="D44" s="114"/>
      <c r="E44" s="114"/>
      <c r="F44" s="114"/>
      <c r="G44" s="114"/>
    </row>
    <row r="45" spans="1:7" ht="22.5">
      <c r="A45" s="114" t="s">
        <v>746</v>
      </c>
      <c r="B45" s="114" t="s">
        <v>746</v>
      </c>
      <c r="C45" s="114" t="s">
        <v>345</v>
      </c>
      <c r="D45" s="114"/>
      <c r="E45" s="114"/>
      <c r="F45" s="114"/>
      <c r="G45" s="114"/>
    </row>
    <row r="46" spans="1:7">
      <c r="A46" s="1" t="s">
        <v>451</v>
      </c>
      <c r="B46" s="1" t="s">
        <v>451</v>
      </c>
      <c r="C46" s="114" t="s">
        <v>425</v>
      </c>
      <c r="D46" s="114" t="s">
        <v>833</v>
      </c>
      <c r="E46" s="114" t="s">
        <v>178</v>
      </c>
      <c r="F46" s="114">
        <v>334.75</v>
      </c>
      <c r="G46" s="114" t="s">
        <v>906</v>
      </c>
    </row>
    <row r="47" spans="1:7">
      <c r="A47" s="1" t="s">
        <v>452</v>
      </c>
      <c r="B47" s="1" t="s">
        <v>452</v>
      </c>
      <c r="C47" s="114" t="s">
        <v>425</v>
      </c>
      <c r="D47" s="114" t="s">
        <v>833</v>
      </c>
      <c r="E47" s="114" t="s">
        <v>178</v>
      </c>
      <c r="F47" s="114">
        <v>502.13</v>
      </c>
      <c r="G47" s="114" t="s">
        <v>906</v>
      </c>
    </row>
    <row r="48" spans="1:7">
      <c r="A48" s="1" t="s">
        <v>453</v>
      </c>
      <c r="B48" s="1" t="s">
        <v>453</v>
      </c>
      <c r="C48" s="114" t="s">
        <v>425</v>
      </c>
      <c r="D48" s="114" t="s">
        <v>833</v>
      </c>
      <c r="E48" s="114" t="s">
        <v>178</v>
      </c>
      <c r="F48" s="114">
        <v>669.5</v>
      </c>
      <c r="G48" s="114" t="s">
        <v>906</v>
      </c>
    </row>
    <row r="49" spans="1:7">
      <c r="A49" s="1" t="s">
        <v>454</v>
      </c>
      <c r="B49" s="1" t="s">
        <v>454</v>
      </c>
      <c r="C49" s="114" t="s">
        <v>425</v>
      </c>
      <c r="D49" s="114" t="s">
        <v>833</v>
      </c>
      <c r="E49" s="114" t="s">
        <v>178</v>
      </c>
      <c r="F49" s="114">
        <v>1004.25</v>
      </c>
      <c r="G49" s="114" t="s">
        <v>906</v>
      </c>
    </row>
    <row r="50" spans="1:7">
      <c r="A50" s="1" t="s">
        <v>455</v>
      </c>
      <c r="B50" s="1" t="s">
        <v>455</v>
      </c>
      <c r="C50" s="114" t="s">
        <v>425</v>
      </c>
      <c r="D50" s="114" t="s">
        <v>833</v>
      </c>
      <c r="E50" s="114" t="s">
        <v>178</v>
      </c>
      <c r="F50" s="114">
        <v>1673.75</v>
      </c>
      <c r="G50" s="114" t="s">
        <v>906</v>
      </c>
    </row>
    <row r="51" spans="1:7">
      <c r="A51" s="1" t="s">
        <v>793</v>
      </c>
      <c r="B51" s="1" t="s">
        <v>793</v>
      </c>
      <c r="C51" s="114" t="s">
        <v>425</v>
      </c>
      <c r="D51" s="114" t="s">
        <v>833</v>
      </c>
      <c r="E51" s="114" t="s">
        <v>178</v>
      </c>
      <c r="F51" s="114">
        <v>267.8</v>
      </c>
      <c r="G51" s="114" t="s">
        <v>906</v>
      </c>
    </row>
    <row r="52" spans="1:7">
      <c r="A52" s="1" t="s">
        <v>794</v>
      </c>
      <c r="B52" s="1" t="s">
        <v>794</v>
      </c>
      <c r="C52" s="114" t="s">
        <v>425</v>
      </c>
      <c r="D52" s="114" t="s">
        <v>833</v>
      </c>
      <c r="E52" s="114" t="s">
        <v>178</v>
      </c>
      <c r="F52" s="114">
        <v>334.75</v>
      </c>
      <c r="G52" s="114" t="s">
        <v>906</v>
      </c>
    </row>
    <row r="53" spans="1:7">
      <c r="A53" s="1" t="s">
        <v>795</v>
      </c>
      <c r="B53" s="1" t="s">
        <v>795</v>
      </c>
      <c r="C53" s="114" t="s">
        <v>425</v>
      </c>
      <c r="D53" s="114" t="s">
        <v>833</v>
      </c>
      <c r="E53" s="114" t="s">
        <v>178</v>
      </c>
      <c r="F53" s="114">
        <v>401.7</v>
      </c>
      <c r="G53" s="114" t="s">
        <v>906</v>
      </c>
    </row>
    <row r="54" spans="1:7">
      <c r="A54" s="1" t="s">
        <v>796</v>
      </c>
      <c r="B54" s="1" t="s">
        <v>796</v>
      </c>
      <c r="C54" s="114" t="s">
        <v>425</v>
      </c>
      <c r="D54" s="114" t="s">
        <v>833</v>
      </c>
      <c r="E54" s="114" t="s">
        <v>178</v>
      </c>
      <c r="F54" s="114">
        <v>502.13</v>
      </c>
      <c r="G54" s="114" t="s">
        <v>906</v>
      </c>
    </row>
    <row r="55" spans="1:7">
      <c r="A55" s="1" t="s">
        <v>797</v>
      </c>
      <c r="B55" s="1" t="s">
        <v>797</v>
      </c>
      <c r="C55" s="114" t="s">
        <v>425</v>
      </c>
      <c r="D55" s="114" t="s">
        <v>833</v>
      </c>
      <c r="E55" s="114" t="s">
        <v>178</v>
      </c>
      <c r="F55" s="114">
        <v>1004.25</v>
      </c>
      <c r="G55" s="114" t="s">
        <v>906</v>
      </c>
    </row>
    <row r="56" spans="1:7">
      <c r="A56" s="1" t="s">
        <v>798</v>
      </c>
      <c r="B56" s="1" t="s">
        <v>798</v>
      </c>
      <c r="C56" s="114" t="s">
        <v>425</v>
      </c>
      <c r="D56" s="114" t="s">
        <v>833</v>
      </c>
      <c r="E56" s="114" t="s">
        <v>178</v>
      </c>
      <c r="F56" s="114">
        <v>167.38</v>
      </c>
      <c r="G56" s="114" t="s">
        <v>906</v>
      </c>
    </row>
    <row r="57" spans="1:7">
      <c r="A57" s="1" t="s">
        <v>799</v>
      </c>
      <c r="B57" s="1" t="s">
        <v>799</v>
      </c>
      <c r="C57" s="114" t="s">
        <v>425</v>
      </c>
      <c r="D57" s="114" t="s">
        <v>833</v>
      </c>
      <c r="E57" s="114" t="s">
        <v>178</v>
      </c>
      <c r="F57" s="114">
        <v>267.8</v>
      </c>
      <c r="G57" s="114" t="s">
        <v>906</v>
      </c>
    </row>
    <row r="58" spans="1:7">
      <c r="A58" s="114" t="s">
        <v>471</v>
      </c>
      <c r="B58" s="114" t="s">
        <v>471</v>
      </c>
      <c r="C58" s="114" t="s">
        <v>345</v>
      </c>
      <c r="D58" s="114" t="s">
        <v>1027</v>
      </c>
      <c r="E58" s="114" t="s">
        <v>1028</v>
      </c>
      <c r="F58" s="114">
        <v>216.72</v>
      </c>
      <c r="G58" s="114" t="s">
        <v>906</v>
      </c>
    </row>
    <row r="59" spans="1:7">
      <c r="A59" s="114" t="s">
        <v>800</v>
      </c>
      <c r="B59" s="114" t="s">
        <v>800</v>
      </c>
      <c r="C59" s="114" t="s">
        <v>345</v>
      </c>
      <c r="D59" s="114" t="s">
        <v>1031</v>
      </c>
      <c r="E59" s="114" t="s">
        <v>58</v>
      </c>
      <c r="F59" s="114">
        <v>1190.3900000000001</v>
      </c>
      <c r="G59" s="114" t="s">
        <v>906</v>
      </c>
    </row>
    <row r="60" spans="1:7">
      <c r="A60" s="114" t="s">
        <v>801</v>
      </c>
      <c r="B60" s="114" t="s">
        <v>801</v>
      </c>
      <c r="C60" s="114" t="s">
        <v>345</v>
      </c>
      <c r="D60" s="114" t="s">
        <v>1031</v>
      </c>
      <c r="E60" s="114" t="s">
        <v>59</v>
      </c>
      <c r="F60" s="114">
        <v>7.34</v>
      </c>
      <c r="G60" s="114" t="s">
        <v>906</v>
      </c>
    </row>
    <row r="61" spans="1:7">
      <c r="A61" s="114" t="s">
        <v>479</v>
      </c>
      <c r="B61" s="114" t="s">
        <v>479</v>
      </c>
      <c r="C61" s="114" t="s">
        <v>517</v>
      </c>
      <c r="D61" s="114" t="s">
        <v>1031</v>
      </c>
      <c r="E61" s="114" t="s">
        <v>60</v>
      </c>
      <c r="F61" s="114">
        <v>12.49</v>
      </c>
      <c r="G61" s="114" t="s">
        <v>906</v>
      </c>
    </row>
    <row r="62" spans="1:7">
      <c r="A62" s="114" t="s">
        <v>497</v>
      </c>
      <c r="B62" s="114" t="s">
        <v>497</v>
      </c>
      <c r="C62" s="114" t="s">
        <v>425</v>
      </c>
      <c r="D62" s="114" t="s">
        <v>1031</v>
      </c>
      <c r="E62" s="114" t="s">
        <v>357</v>
      </c>
      <c r="F62" s="114">
        <v>44.19</v>
      </c>
      <c r="G62" s="114" t="s">
        <v>906</v>
      </c>
    </row>
    <row r="63" spans="1:7">
      <c r="A63" s="114" t="s">
        <v>802</v>
      </c>
      <c r="B63" s="114" t="s">
        <v>802</v>
      </c>
      <c r="C63" s="114" t="s">
        <v>345</v>
      </c>
      <c r="D63" s="114" t="s">
        <v>673</v>
      </c>
      <c r="E63" s="114" t="s">
        <v>672</v>
      </c>
      <c r="F63" s="114">
        <v>0.79</v>
      </c>
      <c r="G63" s="114" t="s">
        <v>906</v>
      </c>
    </row>
    <row r="64" spans="1:7">
      <c r="A64" s="114" t="s">
        <v>962</v>
      </c>
      <c r="B64" s="114" t="s">
        <v>962</v>
      </c>
      <c r="C64" s="114" t="s">
        <v>345</v>
      </c>
      <c r="D64" s="114" t="s">
        <v>673</v>
      </c>
      <c r="E64" s="114" t="s">
        <v>672</v>
      </c>
      <c r="F64" s="114">
        <v>0.32</v>
      </c>
      <c r="G64" s="114" t="s">
        <v>906</v>
      </c>
    </row>
    <row r="65" spans="1:7">
      <c r="A65" s="114" t="s">
        <v>961</v>
      </c>
      <c r="B65" s="114" t="s">
        <v>961</v>
      </c>
      <c r="C65" s="114" t="s">
        <v>345</v>
      </c>
      <c r="D65" s="114" t="s">
        <v>673</v>
      </c>
      <c r="E65" s="114" t="s">
        <v>672</v>
      </c>
      <c r="F65" s="114">
        <v>1.04</v>
      </c>
      <c r="G65" s="114" t="s">
        <v>906</v>
      </c>
    </row>
    <row r="66" spans="1:7">
      <c r="A66" s="114" t="s">
        <v>960</v>
      </c>
      <c r="B66" s="114" t="s">
        <v>960</v>
      </c>
      <c r="C66" s="114" t="s">
        <v>345</v>
      </c>
      <c r="D66" s="114" t="s">
        <v>609</v>
      </c>
      <c r="E66" s="114" t="s">
        <v>672</v>
      </c>
      <c r="F66" s="114">
        <v>0.14000000000000001</v>
      </c>
      <c r="G66" s="114" t="s">
        <v>906</v>
      </c>
    </row>
    <row r="67" spans="1:7">
      <c r="A67" s="114" t="s">
        <v>536</v>
      </c>
      <c r="B67" s="114" t="s">
        <v>536</v>
      </c>
      <c r="C67" s="114" t="s">
        <v>345</v>
      </c>
      <c r="D67" s="114" t="s">
        <v>609</v>
      </c>
      <c r="E67" s="114" t="s">
        <v>672</v>
      </c>
      <c r="F67" s="114">
        <v>0.22</v>
      </c>
      <c r="G67" s="114" t="s">
        <v>906</v>
      </c>
    </row>
    <row r="68" spans="1:7">
      <c r="A68" s="1" t="s">
        <v>803</v>
      </c>
      <c r="B68" s="1" t="s">
        <v>803</v>
      </c>
      <c r="C68" s="114" t="s">
        <v>425</v>
      </c>
      <c r="D68" s="114" t="s">
        <v>833</v>
      </c>
      <c r="E68" s="114" t="s">
        <v>61</v>
      </c>
      <c r="F68" s="114">
        <v>428.23</v>
      </c>
      <c r="G68" s="114" t="s">
        <v>906</v>
      </c>
    </row>
    <row r="69" spans="1:7">
      <c r="A69" s="1" t="s">
        <v>804</v>
      </c>
      <c r="B69" s="1" t="s">
        <v>804</v>
      </c>
      <c r="C69" s="114" t="s">
        <v>425</v>
      </c>
      <c r="D69" s="114" t="s">
        <v>833</v>
      </c>
      <c r="E69" s="114" t="s">
        <v>62</v>
      </c>
      <c r="F69" s="114">
        <v>214.11</v>
      </c>
      <c r="G69" s="114" t="s">
        <v>906</v>
      </c>
    </row>
    <row r="70" spans="1:7">
      <c r="A70" s="1" t="s">
        <v>805</v>
      </c>
      <c r="B70" s="1" t="s">
        <v>805</v>
      </c>
      <c r="C70" s="114" t="s">
        <v>425</v>
      </c>
      <c r="D70" s="114" t="s">
        <v>833</v>
      </c>
      <c r="E70" s="114" t="s">
        <v>957</v>
      </c>
      <c r="F70" s="114">
        <v>42.82</v>
      </c>
      <c r="G70" s="114" t="s">
        <v>906</v>
      </c>
    </row>
    <row r="71" spans="1:7">
      <c r="A71" s="114" t="s">
        <v>196</v>
      </c>
      <c r="B71" s="114" t="s">
        <v>196</v>
      </c>
      <c r="C71" s="114" t="s">
        <v>425</v>
      </c>
      <c r="D71" s="114" t="s">
        <v>833</v>
      </c>
      <c r="E71" s="114" t="s">
        <v>197</v>
      </c>
      <c r="F71" s="114">
        <v>14.98</v>
      </c>
      <c r="G71" s="114" t="s">
        <v>906</v>
      </c>
    </row>
    <row r="72" spans="1:7">
      <c r="A72" s="114" t="s">
        <v>198</v>
      </c>
      <c r="B72" s="114" t="s">
        <v>198</v>
      </c>
      <c r="C72" s="114" t="s">
        <v>425</v>
      </c>
      <c r="D72" s="114" t="s">
        <v>833</v>
      </c>
      <c r="E72" s="114" t="s">
        <v>199</v>
      </c>
      <c r="F72" s="114">
        <v>9.31</v>
      </c>
      <c r="G72" s="114" t="s">
        <v>906</v>
      </c>
    </row>
    <row r="73" spans="1:7">
      <c r="A73" s="1" t="s">
        <v>806</v>
      </c>
      <c r="B73" s="1" t="s">
        <v>806</v>
      </c>
      <c r="C73" s="114" t="s">
        <v>425</v>
      </c>
      <c r="D73" s="114" t="s">
        <v>833</v>
      </c>
      <c r="E73" s="114" t="s">
        <v>61</v>
      </c>
      <c r="F73" s="114">
        <v>697.65</v>
      </c>
      <c r="G73" s="114" t="s">
        <v>906</v>
      </c>
    </row>
    <row r="74" spans="1:7">
      <c r="A74" s="1" t="s">
        <v>807</v>
      </c>
      <c r="B74" s="1" t="s">
        <v>807</v>
      </c>
      <c r="C74" s="114" t="s">
        <v>425</v>
      </c>
      <c r="D74" s="114" t="s">
        <v>833</v>
      </c>
      <c r="E74" s="114" t="s">
        <v>62</v>
      </c>
      <c r="F74" s="114">
        <v>232.55</v>
      </c>
      <c r="G74" s="114" t="s">
        <v>906</v>
      </c>
    </row>
    <row r="75" spans="1:7">
      <c r="A75" s="1" t="s">
        <v>808</v>
      </c>
      <c r="B75" s="1" t="s">
        <v>808</v>
      </c>
      <c r="C75" s="114" t="s">
        <v>425</v>
      </c>
      <c r="D75" s="114" t="s">
        <v>833</v>
      </c>
      <c r="E75" s="114" t="s">
        <v>957</v>
      </c>
      <c r="F75" s="114">
        <v>46.51</v>
      </c>
      <c r="G75" s="114" t="s">
        <v>906</v>
      </c>
    </row>
    <row r="76" spans="1:7">
      <c r="A76" s="1" t="s">
        <v>809</v>
      </c>
      <c r="B76" s="1" t="s">
        <v>809</v>
      </c>
      <c r="C76" s="114" t="s">
        <v>425</v>
      </c>
      <c r="D76" s="114" t="s">
        <v>833</v>
      </c>
      <c r="E76" s="114" t="s">
        <v>61</v>
      </c>
      <c r="F76" s="114">
        <v>191.12</v>
      </c>
      <c r="G76" s="114" t="s">
        <v>906</v>
      </c>
    </row>
    <row r="77" spans="1:7">
      <c r="A77" s="1" t="s">
        <v>810</v>
      </c>
      <c r="B77" s="1" t="s">
        <v>810</v>
      </c>
      <c r="C77" s="114" t="s">
        <v>425</v>
      </c>
      <c r="D77" s="114" t="s">
        <v>833</v>
      </c>
      <c r="E77" s="114" t="s">
        <v>62</v>
      </c>
      <c r="F77" s="114">
        <v>63.71</v>
      </c>
      <c r="G77" s="114" t="s">
        <v>906</v>
      </c>
    </row>
    <row r="78" spans="1:7">
      <c r="A78" s="1" t="s">
        <v>811</v>
      </c>
      <c r="B78" s="1" t="s">
        <v>811</v>
      </c>
      <c r="C78" s="114" t="s">
        <v>425</v>
      </c>
      <c r="D78" s="114" t="s">
        <v>833</v>
      </c>
      <c r="E78" s="114" t="s">
        <v>957</v>
      </c>
      <c r="F78" s="114">
        <v>12.74</v>
      </c>
      <c r="G78" s="114" t="s">
        <v>906</v>
      </c>
    </row>
    <row r="79" spans="1:7">
      <c r="A79" s="114" t="s">
        <v>242</v>
      </c>
      <c r="B79" s="114" t="s">
        <v>242</v>
      </c>
      <c r="C79" s="114" t="s">
        <v>345</v>
      </c>
      <c r="D79" s="114" t="s">
        <v>1031</v>
      </c>
      <c r="E79" s="114" t="s">
        <v>358</v>
      </c>
      <c r="F79" s="114">
        <v>169.85</v>
      </c>
      <c r="G79" s="114" t="s">
        <v>906</v>
      </c>
    </row>
    <row r="80" spans="1:7">
      <c r="A80" s="114" t="s">
        <v>472</v>
      </c>
      <c r="B80" s="114" t="s">
        <v>472</v>
      </c>
      <c r="C80" s="114" t="s">
        <v>517</v>
      </c>
      <c r="D80" s="114" t="s">
        <v>1031</v>
      </c>
      <c r="E80" s="114" t="s">
        <v>970</v>
      </c>
      <c r="F80" s="114">
        <v>128.58000000000001</v>
      </c>
      <c r="G80" s="114" t="s">
        <v>906</v>
      </c>
    </row>
    <row r="81" spans="1:7">
      <c r="A81" s="114" t="s">
        <v>747</v>
      </c>
      <c r="B81" s="114" t="s">
        <v>747</v>
      </c>
      <c r="C81" s="114" t="s">
        <v>3</v>
      </c>
      <c r="D81" s="114"/>
      <c r="E81" s="114"/>
      <c r="F81" s="114"/>
      <c r="G81" s="114"/>
    </row>
    <row r="82" spans="1:7">
      <c r="A82" s="114" t="s">
        <v>748</v>
      </c>
      <c r="B82" s="114" t="s">
        <v>748</v>
      </c>
      <c r="C82" s="114" t="s">
        <v>425</v>
      </c>
      <c r="D82" s="114"/>
      <c r="E82" s="114"/>
      <c r="F82" s="114"/>
      <c r="G82" s="114"/>
    </row>
    <row r="83" spans="1:7">
      <c r="A83" s="114" t="s">
        <v>749</v>
      </c>
      <c r="B83" s="114" t="s">
        <v>749</v>
      </c>
      <c r="C83" s="114" t="s">
        <v>345</v>
      </c>
      <c r="D83" s="114"/>
      <c r="E83" s="114"/>
      <c r="F83" s="114"/>
      <c r="G83" s="114"/>
    </row>
    <row r="84" spans="1:7">
      <c r="A84" s="114" t="s">
        <v>29</v>
      </c>
      <c r="B84" s="114" t="s">
        <v>29</v>
      </c>
      <c r="C84" s="114" t="s">
        <v>224</v>
      </c>
      <c r="D84" s="114" t="s">
        <v>1031</v>
      </c>
      <c r="E84" s="114" t="s">
        <v>669</v>
      </c>
      <c r="F84" s="114">
        <v>5.99</v>
      </c>
      <c r="G84" s="114" t="s">
        <v>906</v>
      </c>
    </row>
    <row r="85" spans="1:7">
      <c r="A85" s="114" t="s">
        <v>1002</v>
      </c>
      <c r="B85" s="114" t="s">
        <v>1002</v>
      </c>
      <c r="C85" s="114" t="s">
        <v>345</v>
      </c>
      <c r="D85" s="114" t="s">
        <v>1027</v>
      </c>
      <c r="E85" s="114" t="s">
        <v>179</v>
      </c>
      <c r="F85" s="114">
        <v>53.9</v>
      </c>
      <c r="G85" s="114" t="s">
        <v>906</v>
      </c>
    </row>
    <row r="86" spans="1:7">
      <c r="A86" s="114" t="s">
        <v>1003</v>
      </c>
      <c r="B86" s="114" t="s">
        <v>1003</v>
      </c>
      <c r="C86" s="114" t="s">
        <v>345</v>
      </c>
      <c r="D86" s="114" t="s">
        <v>1027</v>
      </c>
      <c r="E86" s="114" t="s">
        <v>179</v>
      </c>
      <c r="F86" s="114">
        <v>18.05</v>
      </c>
      <c r="G86" s="114" t="s">
        <v>906</v>
      </c>
    </row>
    <row r="87" spans="1:7">
      <c r="A87" s="114" t="s">
        <v>842</v>
      </c>
      <c r="B87" s="114" t="s">
        <v>842</v>
      </c>
      <c r="C87" s="114" t="s">
        <v>345</v>
      </c>
      <c r="D87" s="114" t="s">
        <v>1027</v>
      </c>
      <c r="E87" s="114" t="s">
        <v>1029</v>
      </c>
      <c r="F87" s="114">
        <v>21.96</v>
      </c>
      <c r="G87" s="114" t="s">
        <v>906</v>
      </c>
    </row>
    <row r="88" spans="1:7">
      <c r="A88" s="114" t="s">
        <v>32</v>
      </c>
      <c r="B88" s="114" t="s">
        <v>32</v>
      </c>
      <c r="C88" s="114" t="s">
        <v>425</v>
      </c>
      <c r="D88" s="114" t="s">
        <v>815</v>
      </c>
      <c r="E88" s="114" t="s">
        <v>790</v>
      </c>
      <c r="F88" s="114">
        <v>109.42</v>
      </c>
      <c r="G88" s="114" t="s">
        <v>906</v>
      </c>
    </row>
    <row r="89" spans="1:7">
      <c r="A89" s="114" t="s">
        <v>750</v>
      </c>
      <c r="B89" s="114" t="s">
        <v>750</v>
      </c>
      <c r="C89" s="114" t="s">
        <v>3</v>
      </c>
      <c r="D89" s="114"/>
      <c r="E89" s="114"/>
      <c r="F89" s="114"/>
      <c r="G89" s="114"/>
    </row>
    <row r="90" spans="1:7">
      <c r="A90" s="114" t="s">
        <v>368</v>
      </c>
      <c r="B90" s="114" t="s">
        <v>368</v>
      </c>
      <c r="C90" s="114" t="s">
        <v>425</v>
      </c>
      <c r="D90" s="114"/>
      <c r="E90" s="114"/>
      <c r="F90" s="114"/>
      <c r="G90" s="114"/>
    </row>
    <row r="91" spans="1:7">
      <c r="A91" s="114" t="s">
        <v>369</v>
      </c>
      <c r="B91" s="114" t="s">
        <v>369</v>
      </c>
      <c r="C91" s="114" t="s">
        <v>345</v>
      </c>
      <c r="D91" s="114"/>
      <c r="E91" s="114"/>
      <c r="F91" s="114"/>
      <c r="G91" s="114"/>
    </row>
    <row r="92" spans="1:7">
      <c r="A92" s="114" t="s">
        <v>54</v>
      </c>
      <c r="B92" s="114" t="s">
        <v>54</v>
      </c>
      <c r="C92" s="114" t="s">
        <v>425</v>
      </c>
      <c r="D92" s="114" t="s">
        <v>815</v>
      </c>
      <c r="E92" s="114" t="s">
        <v>790</v>
      </c>
      <c r="F92" s="114">
        <v>352.08</v>
      </c>
      <c r="G92" s="114" t="s">
        <v>906</v>
      </c>
    </row>
    <row r="93" spans="1:7">
      <c r="A93" s="114" t="s">
        <v>31</v>
      </c>
      <c r="B93" s="114" t="s">
        <v>31</v>
      </c>
      <c r="C93" s="114" t="s">
        <v>425</v>
      </c>
      <c r="D93" s="114" t="s">
        <v>815</v>
      </c>
      <c r="E93" s="114" t="s">
        <v>359</v>
      </c>
      <c r="F93" s="114">
        <v>20.61</v>
      </c>
      <c r="G93" s="114" t="s">
        <v>906</v>
      </c>
    </row>
    <row r="94" spans="1:7">
      <c r="A94" s="114" t="s">
        <v>30</v>
      </c>
      <c r="B94" s="114" t="s">
        <v>30</v>
      </c>
      <c r="C94" s="114" t="s">
        <v>425</v>
      </c>
      <c r="D94" s="114" t="s">
        <v>815</v>
      </c>
      <c r="E94" s="114" t="s">
        <v>359</v>
      </c>
      <c r="F94" s="114">
        <v>20.61</v>
      </c>
      <c r="G94" s="114" t="s">
        <v>906</v>
      </c>
    </row>
    <row r="95" spans="1:7">
      <c r="A95" s="114" t="s">
        <v>201</v>
      </c>
      <c r="B95" s="114" t="s">
        <v>201</v>
      </c>
      <c r="C95" s="114" t="s">
        <v>191</v>
      </c>
      <c r="D95" s="114" t="s">
        <v>1031</v>
      </c>
      <c r="E95" s="114" t="s">
        <v>791</v>
      </c>
      <c r="F95" s="114">
        <v>302.92</v>
      </c>
      <c r="G95" s="114" t="s">
        <v>906</v>
      </c>
    </row>
    <row r="96" spans="1:7">
      <c r="A96" s="114" t="s">
        <v>456</v>
      </c>
      <c r="B96" s="114" t="s">
        <v>456</v>
      </c>
      <c r="C96" s="114" t="s">
        <v>346</v>
      </c>
      <c r="D96" s="1" t="s">
        <v>1031</v>
      </c>
      <c r="E96" s="1" t="s">
        <v>457</v>
      </c>
      <c r="F96" s="181">
        <v>46.65</v>
      </c>
      <c r="G96" s="114" t="s">
        <v>906</v>
      </c>
    </row>
    <row r="97" spans="1:7">
      <c r="A97" s="114" t="s">
        <v>473</v>
      </c>
      <c r="B97" s="114" t="s">
        <v>473</v>
      </c>
      <c r="C97" s="114" t="s">
        <v>345</v>
      </c>
      <c r="D97" s="114" t="s">
        <v>609</v>
      </c>
      <c r="E97" s="114" t="s">
        <v>1076</v>
      </c>
      <c r="F97" s="114">
        <v>0.26</v>
      </c>
      <c r="G97" s="114" t="s">
        <v>906</v>
      </c>
    </row>
    <row r="98" spans="1:7">
      <c r="A98" s="114" t="s">
        <v>474</v>
      </c>
      <c r="B98" s="114" t="s">
        <v>474</v>
      </c>
      <c r="C98" s="114" t="s">
        <v>345</v>
      </c>
      <c r="D98" s="114" t="s">
        <v>1031</v>
      </c>
      <c r="E98" s="114" t="s">
        <v>671</v>
      </c>
      <c r="F98" s="114">
        <v>20.03</v>
      </c>
      <c r="G98" s="114" t="s">
        <v>906</v>
      </c>
    </row>
    <row r="99" spans="1:7">
      <c r="A99" s="114" t="s">
        <v>475</v>
      </c>
      <c r="B99" s="114" t="s">
        <v>475</v>
      </c>
      <c r="C99" s="114" t="s">
        <v>345</v>
      </c>
      <c r="D99" s="114" t="s">
        <v>673</v>
      </c>
      <c r="E99" s="114" t="s">
        <v>1076</v>
      </c>
      <c r="F99" s="114">
        <v>3.39</v>
      </c>
      <c r="G99" s="114" t="s">
        <v>906</v>
      </c>
    </row>
    <row r="100" spans="1:7">
      <c r="A100" s="114" t="s">
        <v>269</v>
      </c>
      <c r="B100" s="114" t="s">
        <v>269</v>
      </c>
      <c r="C100" s="114" t="s">
        <v>345</v>
      </c>
      <c r="D100" s="114" t="s">
        <v>609</v>
      </c>
      <c r="E100" s="114" t="s">
        <v>2</v>
      </c>
      <c r="F100" s="114">
        <v>14.26</v>
      </c>
      <c r="G100" s="114" t="s">
        <v>906</v>
      </c>
    </row>
    <row r="101" spans="1:7">
      <c r="A101" s="114" t="str">
        <f>B101</f>
        <v>Shared Software and Currency</v>
      </c>
      <c r="B101" s="114" t="s">
        <v>270</v>
      </c>
      <c r="C101" s="114" t="s">
        <v>517</v>
      </c>
      <c r="D101" s="114" t="s">
        <v>900</v>
      </c>
      <c r="E101" s="114" t="s">
        <v>671</v>
      </c>
      <c r="F101" s="114">
        <v>5.39</v>
      </c>
      <c r="G101" s="114" t="s">
        <v>906</v>
      </c>
    </row>
    <row r="102" spans="1:7">
      <c r="A102" s="114" t="s">
        <v>687</v>
      </c>
      <c r="B102" s="114" t="s">
        <v>687</v>
      </c>
      <c r="C102" s="114" t="s">
        <v>425</v>
      </c>
      <c r="D102" s="114" t="s">
        <v>833</v>
      </c>
      <c r="E102" s="114" t="s">
        <v>689</v>
      </c>
      <c r="F102" s="114">
        <v>55.4</v>
      </c>
      <c r="G102" s="114" t="s">
        <v>906</v>
      </c>
    </row>
    <row r="103" spans="1:7">
      <c r="A103" s="114" t="s">
        <v>48</v>
      </c>
      <c r="B103" s="114" t="s">
        <v>48</v>
      </c>
      <c r="C103" s="114" t="s">
        <v>425</v>
      </c>
      <c r="D103" s="114" t="s">
        <v>833</v>
      </c>
      <c r="E103" s="114" t="s">
        <v>689</v>
      </c>
      <c r="F103" s="114">
        <v>0.31</v>
      </c>
      <c r="G103" s="114" t="s">
        <v>906</v>
      </c>
    </row>
    <row r="104" spans="1:7">
      <c r="A104" s="114" t="s">
        <v>49</v>
      </c>
      <c r="B104" s="114" t="s">
        <v>49</v>
      </c>
      <c r="C104" s="114" t="s">
        <v>425</v>
      </c>
      <c r="D104" s="114" t="s">
        <v>833</v>
      </c>
      <c r="E104" s="114" t="s">
        <v>689</v>
      </c>
      <c r="F104" s="114">
        <v>0.91</v>
      </c>
      <c r="G104" s="114" t="s">
        <v>906</v>
      </c>
    </row>
    <row r="105" spans="1:7">
      <c r="A105" s="114" t="s">
        <v>686</v>
      </c>
      <c r="B105" s="114" t="s">
        <v>686</v>
      </c>
      <c r="C105" s="114" t="s">
        <v>425</v>
      </c>
      <c r="D105" s="114" t="s">
        <v>833</v>
      </c>
      <c r="E105" s="114" t="s">
        <v>688</v>
      </c>
      <c r="F105" s="114">
        <v>714.78</v>
      </c>
      <c r="G105" s="114" t="s">
        <v>906</v>
      </c>
    </row>
    <row r="106" spans="1:7">
      <c r="A106" s="114" t="s">
        <v>50</v>
      </c>
      <c r="B106" s="114" t="s">
        <v>50</v>
      </c>
      <c r="C106" s="114" t="s">
        <v>425</v>
      </c>
      <c r="D106" s="114" t="s">
        <v>1031</v>
      </c>
      <c r="E106" s="114" t="s">
        <v>774</v>
      </c>
      <c r="F106" s="114">
        <v>0.35499999999999998</v>
      </c>
      <c r="G106" s="114" t="s">
        <v>906</v>
      </c>
    </row>
    <row r="107" spans="1:7" ht="22.5">
      <c r="A107" s="114" t="str">
        <f>B107</f>
        <v>SOFTWARE - DIRECT - 3RD PARTY (EUS)</v>
      </c>
      <c r="B107" s="114" t="s">
        <v>370</v>
      </c>
      <c r="C107" s="114" t="s">
        <v>3</v>
      </c>
      <c r="D107" s="114"/>
      <c r="E107" s="114"/>
      <c r="F107" s="114"/>
      <c r="G107" s="114"/>
    </row>
    <row r="108" spans="1:7" ht="22.5">
      <c r="A108" s="114" t="str">
        <f>B108</f>
        <v>SOFTWARE - DIRECT - 3RD PARTY (NWK)</v>
      </c>
      <c r="B108" s="114" t="s">
        <v>371</v>
      </c>
      <c r="C108" s="114" t="s">
        <v>425</v>
      </c>
      <c r="D108" s="114"/>
      <c r="E108" s="114"/>
      <c r="F108" s="114"/>
      <c r="G108" s="114"/>
    </row>
    <row r="109" spans="1:7" ht="22.5">
      <c r="A109" s="114" t="str">
        <f>B109</f>
        <v>SOFTWARE - DIRECT - 3RD PARTY (SSO)</v>
      </c>
      <c r="B109" s="114" t="s">
        <v>985</v>
      </c>
      <c r="C109" s="114" t="s">
        <v>345</v>
      </c>
      <c r="D109" s="114"/>
      <c r="E109" s="114"/>
      <c r="F109" s="114"/>
      <c r="G109" s="114"/>
    </row>
    <row r="110" spans="1:7">
      <c r="A110" s="114" t="str">
        <f>B110</f>
        <v>SRMS</v>
      </c>
      <c r="B110" s="114" t="s">
        <v>1007</v>
      </c>
      <c r="C110" s="114" t="s">
        <v>518</v>
      </c>
      <c r="D110" s="114" t="s">
        <v>1031</v>
      </c>
      <c r="E110" s="114" t="s">
        <v>347</v>
      </c>
      <c r="F110" s="114">
        <v>40.72</v>
      </c>
      <c r="G110" s="114" t="s">
        <v>906</v>
      </c>
    </row>
    <row r="111" spans="1:7">
      <c r="A111" s="114" t="s">
        <v>33</v>
      </c>
      <c r="B111" s="114" t="s">
        <v>33</v>
      </c>
      <c r="C111" s="114" t="s">
        <v>517</v>
      </c>
      <c r="D111" s="114" t="s">
        <v>850</v>
      </c>
      <c r="E111" s="114"/>
      <c r="F111" s="114"/>
      <c r="G111" s="114"/>
    </row>
    <row r="112" spans="1:7">
      <c r="A112" s="114" t="s">
        <v>34</v>
      </c>
      <c r="B112" s="114" t="s">
        <v>34</v>
      </c>
      <c r="C112" s="114" t="s">
        <v>518</v>
      </c>
      <c r="D112" s="114" t="s">
        <v>850</v>
      </c>
      <c r="E112" s="114"/>
      <c r="F112" s="114"/>
      <c r="G112" s="114"/>
    </row>
    <row r="113" spans="1:7">
      <c r="A113" s="114" t="s">
        <v>35</v>
      </c>
      <c r="B113" s="114" t="s">
        <v>35</v>
      </c>
      <c r="C113" s="114" t="s">
        <v>3</v>
      </c>
      <c r="D113" s="114" t="s">
        <v>850</v>
      </c>
      <c r="E113" s="114"/>
      <c r="F113" s="114"/>
      <c r="G113" s="114"/>
    </row>
    <row r="114" spans="1:7">
      <c r="A114" s="114" t="s">
        <v>38</v>
      </c>
      <c r="B114" s="114" t="s">
        <v>38</v>
      </c>
      <c r="C114" s="114" t="s">
        <v>191</v>
      </c>
      <c r="D114" s="114" t="s">
        <v>850</v>
      </c>
      <c r="E114" s="114"/>
      <c r="F114" s="114"/>
      <c r="G114" s="114"/>
    </row>
    <row r="115" spans="1:7">
      <c r="A115" s="114" t="s">
        <v>39</v>
      </c>
      <c r="B115" s="114" t="s">
        <v>39</v>
      </c>
      <c r="C115" s="114" t="s">
        <v>191</v>
      </c>
      <c r="D115" s="114" t="s">
        <v>850</v>
      </c>
      <c r="E115" s="114"/>
      <c r="F115" s="114"/>
      <c r="G115" s="114"/>
    </row>
    <row r="116" spans="1:7">
      <c r="A116" s="114" t="s">
        <v>40</v>
      </c>
      <c r="B116" s="114" t="s">
        <v>40</v>
      </c>
      <c r="C116" s="114" t="s">
        <v>191</v>
      </c>
      <c r="D116" s="114" t="s">
        <v>850</v>
      </c>
      <c r="E116" s="114"/>
      <c r="F116" s="114"/>
      <c r="G116" s="114"/>
    </row>
    <row r="117" spans="1:7">
      <c r="A117" s="114" t="s">
        <v>37</v>
      </c>
      <c r="B117" s="114" t="s">
        <v>37</v>
      </c>
      <c r="C117" s="114" t="s">
        <v>346</v>
      </c>
      <c r="D117" s="114" t="s">
        <v>850</v>
      </c>
      <c r="E117" s="114"/>
      <c r="F117" s="114"/>
      <c r="G117" s="114"/>
    </row>
    <row r="118" spans="1:7">
      <c r="A118" s="114" t="s">
        <v>36</v>
      </c>
      <c r="B118" s="114" t="s">
        <v>36</v>
      </c>
      <c r="C118" s="114" t="s">
        <v>3</v>
      </c>
      <c r="D118" s="114" t="s">
        <v>850</v>
      </c>
      <c r="E118" s="114"/>
      <c r="F118" s="114"/>
      <c r="G118" s="114"/>
    </row>
    <row r="119" spans="1:7">
      <c r="A119" s="114" t="s">
        <v>41</v>
      </c>
      <c r="B119" s="114" t="s">
        <v>41</v>
      </c>
      <c r="C119" s="114" t="s">
        <v>345</v>
      </c>
      <c r="D119" s="114" t="s">
        <v>850</v>
      </c>
      <c r="E119" s="114"/>
      <c r="F119" s="114"/>
      <c r="G119" s="114"/>
    </row>
    <row r="120" spans="1:7">
      <c r="A120" s="114" t="s">
        <v>42</v>
      </c>
      <c r="B120" s="114" t="s">
        <v>42</v>
      </c>
      <c r="C120" s="114" t="s">
        <v>345</v>
      </c>
      <c r="D120" s="114" t="s">
        <v>850</v>
      </c>
      <c r="E120" s="114"/>
      <c r="F120" s="114"/>
      <c r="G120" s="114"/>
    </row>
    <row r="121" spans="1:7">
      <c r="A121" s="114" t="s">
        <v>43</v>
      </c>
      <c r="B121" s="114" t="s">
        <v>43</v>
      </c>
      <c r="C121" s="114" t="s">
        <v>345</v>
      </c>
      <c r="D121" s="114" t="s">
        <v>850</v>
      </c>
      <c r="E121" s="114"/>
      <c r="F121" s="114"/>
      <c r="G121" s="114"/>
    </row>
    <row r="122" spans="1:7">
      <c r="A122" s="114" t="s">
        <v>44</v>
      </c>
      <c r="B122" s="114" t="s">
        <v>44</v>
      </c>
      <c r="C122" s="114" t="s">
        <v>345</v>
      </c>
      <c r="D122" s="114" t="s">
        <v>850</v>
      </c>
      <c r="E122" s="114"/>
      <c r="F122" s="114"/>
      <c r="G122" s="114"/>
    </row>
    <row r="123" spans="1:7">
      <c r="A123" s="114" t="s">
        <v>45</v>
      </c>
      <c r="B123" s="114" t="s">
        <v>45</v>
      </c>
      <c r="C123" s="114" t="s">
        <v>345</v>
      </c>
      <c r="D123" s="114" t="s">
        <v>850</v>
      </c>
      <c r="E123" s="114"/>
      <c r="F123" s="114"/>
      <c r="G123" s="114" t="s">
        <v>906</v>
      </c>
    </row>
    <row r="124" spans="1:7">
      <c r="A124" s="114" t="s">
        <v>46</v>
      </c>
      <c r="B124" s="114" t="s">
        <v>46</v>
      </c>
      <c r="C124" s="114" t="s">
        <v>345</v>
      </c>
      <c r="D124" s="114" t="s">
        <v>850</v>
      </c>
      <c r="E124" s="114"/>
      <c r="F124" s="114"/>
      <c r="G124" s="114" t="s">
        <v>906</v>
      </c>
    </row>
    <row r="125" spans="1:7">
      <c r="A125" s="114" t="s">
        <v>47</v>
      </c>
      <c r="B125" s="114" t="s">
        <v>47</v>
      </c>
      <c r="C125" s="114" t="s">
        <v>345</v>
      </c>
      <c r="D125" s="114" t="s">
        <v>850</v>
      </c>
      <c r="E125" s="114"/>
      <c r="F125" s="114"/>
      <c r="G125" s="114" t="s">
        <v>906</v>
      </c>
    </row>
    <row r="126" spans="1:7">
      <c r="A126" s="114" t="s">
        <v>51</v>
      </c>
      <c r="B126" s="114" t="s">
        <v>51</v>
      </c>
      <c r="C126" s="114" t="s">
        <v>346</v>
      </c>
      <c r="D126" s="114" t="s">
        <v>1031</v>
      </c>
      <c r="E126" s="114" t="s">
        <v>903</v>
      </c>
      <c r="F126" s="114">
        <v>44.53</v>
      </c>
      <c r="G126" s="114" t="s">
        <v>906</v>
      </c>
    </row>
    <row r="127" spans="1:7">
      <c r="A127" s="114" t="str">
        <f>B127</f>
        <v>Telco Supplier Support</v>
      </c>
      <c r="B127" s="114" t="s">
        <v>792</v>
      </c>
      <c r="C127" s="114" t="s">
        <v>517</v>
      </c>
      <c r="D127" s="114" t="s">
        <v>833</v>
      </c>
      <c r="E127" s="114" t="s">
        <v>904</v>
      </c>
      <c r="F127" s="114">
        <v>69.78</v>
      </c>
      <c r="G127" s="114" t="s">
        <v>906</v>
      </c>
    </row>
    <row r="128" spans="1:7">
      <c r="A128" s="114" t="str">
        <f>B128</f>
        <v>Travel</v>
      </c>
      <c r="B128" s="3" t="s">
        <v>458</v>
      </c>
      <c r="C128" s="3" t="s">
        <v>346</v>
      </c>
      <c r="D128" s="3" t="s">
        <v>353</v>
      </c>
      <c r="E128" s="3"/>
      <c r="F128" s="3"/>
      <c r="G128" s="3"/>
    </row>
    <row r="129" spans="1:7">
      <c r="A129" s="114" t="s">
        <v>52</v>
      </c>
      <c r="B129" s="114" t="s">
        <v>52</v>
      </c>
      <c r="C129" s="114" t="s">
        <v>345</v>
      </c>
      <c r="D129" s="114" t="s">
        <v>1031</v>
      </c>
      <c r="E129" s="114" t="s">
        <v>361</v>
      </c>
      <c r="F129" s="114">
        <v>96.01</v>
      </c>
      <c r="G129" s="114" t="s">
        <v>906</v>
      </c>
    </row>
    <row r="130" spans="1:7">
      <c r="A130" s="114" t="s">
        <v>53</v>
      </c>
      <c r="B130" s="114" t="s">
        <v>53</v>
      </c>
      <c r="C130" s="114" t="s">
        <v>345</v>
      </c>
      <c r="D130" s="114" t="s">
        <v>1031</v>
      </c>
      <c r="E130" s="114" t="s">
        <v>361</v>
      </c>
      <c r="F130" s="114">
        <v>118.58</v>
      </c>
      <c r="G130" s="114" t="s">
        <v>906</v>
      </c>
    </row>
    <row r="131" spans="1:7">
      <c r="A131" s="114" t="str">
        <f t="shared" ref="A131:A136" si="0">B131</f>
        <v>VOICE/TELECOM (EUS)</v>
      </c>
      <c r="B131" s="114" t="s">
        <v>986</v>
      </c>
      <c r="C131" s="114" t="s">
        <v>3</v>
      </c>
      <c r="D131" s="114"/>
      <c r="E131" s="114"/>
      <c r="F131" s="114"/>
      <c r="G131" s="114"/>
    </row>
    <row r="132" spans="1:7">
      <c r="A132" s="114" t="str">
        <f t="shared" si="0"/>
        <v>VOICE/TELECOM (NWK)</v>
      </c>
      <c r="B132" s="114" t="s">
        <v>987</v>
      </c>
      <c r="C132" s="114" t="s">
        <v>425</v>
      </c>
      <c r="D132" s="114"/>
      <c r="E132" s="114"/>
      <c r="F132" s="114"/>
      <c r="G132" s="114"/>
    </row>
    <row r="133" spans="1:7">
      <c r="A133" s="114" t="str">
        <f t="shared" si="0"/>
        <v>VOICE/TELECOM (SSO)</v>
      </c>
      <c r="B133" s="114" t="s">
        <v>988</v>
      </c>
      <c r="C133" s="114" t="s">
        <v>345</v>
      </c>
      <c r="D133" s="114"/>
      <c r="E133" s="114"/>
      <c r="F133" s="114"/>
      <c r="G133" s="114"/>
    </row>
    <row r="134" spans="1:7">
      <c r="A134" s="114" t="str">
        <f t="shared" si="0"/>
        <v>VSA Infrastructure</v>
      </c>
      <c r="B134" s="114" t="s">
        <v>1004</v>
      </c>
      <c r="C134" s="114" t="s">
        <v>345</v>
      </c>
      <c r="D134" s="114" t="s">
        <v>1031</v>
      </c>
      <c r="E134" s="114" t="s">
        <v>840</v>
      </c>
      <c r="F134" s="114">
        <v>8.7200000000000006</v>
      </c>
      <c r="G134" s="114" t="s">
        <v>906</v>
      </c>
    </row>
    <row r="135" spans="1:7" s="3" customFormat="1">
      <c r="A135" s="114" t="str">
        <f t="shared" si="0"/>
        <v>VSA Shared Proxy</v>
      </c>
      <c r="B135" s="114" t="s">
        <v>1005</v>
      </c>
      <c r="C135" s="114" t="s">
        <v>345</v>
      </c>
      <c r="D135" s="114" t="s">
        <v>1031</v>
      </c>
      <c r="E135" s="114" t="s">
        <v>840</v>
      </c>
      <c r="F135" s="114">
        <v>23.88</v>
      </c>
      <c r="G135" s="114" t="s">
        <v>906</v>
      </c>
    </row>
    <row r="136" spans="1:7">
      <c r="A136" s="114" t="str">
        <f t="shared" si="0"/>
        <v>VSA Shared WRS</v>
      </c>
      <c r="B136" s="114" t="s">
        <v>1006</v>
      </c>
      <c r="C136" s="114" t="s">
        <v>345</v>
      </c>
      <c r="D136" s="114" t="s">
        <v>1031</v>
      </c>
      <c r="E136" s="114" t="s">
        <v>840</v>
      </c>
      <c r="F136" s="114">
        <v>1.82</v>
      </c>
      <c r="G136" s="114" t="s">
        <v>906</v>
      </c>
    </row>
    <row r="137" spans="1:7">
      <c r="A137" s="114" t="s">
        <v>877</v>
      </c>
      <c r="B137" s="114" t="s">
        <v>877</v>
      </c>
      <c r="C137" s="114" t="s">
        <v>345</v>
      </c>
      <c r="D137" s="114" t="s">
        <v>1027</v>
      </c>
      <c r="E137" s="114" t="s">
        <v>225</v>
      </c>
      <c r="F137" s="114">
        <v>448</v>
      </c>
      <c r="G137" s="114" t="s">
        <v>906</v>
      </c>
    </row>
    <row r="138" spans="1:7">
      <c r="A138" s="114" t="s">
        <v>878</v>
      </c>
      <c r="B138" s="114" t="s">
        <v>878</v>
      </c>
      <c r="C138" s="114" t="s">
        <v>345</v>
      </c>
      <c r="D138" s="114" t="s">
        <v>1027</v>
      </c>
      <c r="E138" s="114" t="s">
        <v>225</v>
      </c>
      <c r="F138" s="114">
        <v>439</v>
      </c>
      <c r="G138" s="114" t="s">
        <v>906</v>
      </c>
    </row>
    <row r="139" spans="1:7">
      <c r="A139" s="114" t="s">
        <v>879</v>
      </c>
      <c r="B139" s="114" t="s">
        <v>879</v>
      </c>
      <c r="C139" s="114" t="s">
        <v>345</v>
      </c>
      <c r="D139" s="114" t="s">
        <v>1027</v>
      </c>
      <c r="E139" s="114" t="s">
        <v>226</v>
      </c>
      <c r="F139" s="114">
        <v>302</v>
      </c>
      <c r="G139" s="114" t="s">
        <v>906</v>
      </c>
    </row>
    <row r="140" spans="1:7">
      <c r="A140" s="114" t="s">
        <v>880</v>
      </c>
      <c r="B140" s="114" t="s">
        <v>880</v>
      </c>
      <c r="C140" s="114" t="s">
        <v>345</v>
      </c>
      <c r="D140" s="114" t="s">
        <v>1027</v>
      </c>
      <c r="E140" s="114" t="s">
        <v>675</v>
      </c>
      <c r="F140" s="114">
        <v>11</v>
      </c>
      <c r="G140" s="114" t="s">
        <v>906</v>
      </c>
    </row>
    <row r="141" spans="1:7">
      <c r="A141" s="114" t="s">
        <v>881</v>
      </c>
      <c r="B141" s="114" t="s">
        <v>881</v>
      </c>
      <c r="C141" s="114" t="s">
        <v>345</v>
      </c>
      <c r="D141" s="114" t="s">
        <v>1027</v>
      </c>
      <c r="E141" s="114" t="s">
        <v>225</v>
      </c>
      <c r="F141" s="114">
        <v>70</v>
      </c>
      <c r="G141" s="114" t="s">
        <v>906</v>
      </c>
    </row>
    <row r="142" spans="1:7">
      <c r="A142" s="114" t="s">
        <v>882</v>
      </c>
      <c r="B142" s="114" t="s">
        <v>882</v>
      </c>
      <c r="C142" s="114" t="s">
        <v>345</v>
      </c>
      <c r="D142" s="114" t="s">
        <v>1027</v>
      </c>
      <c r="E142" s="114" t="s">
        <v>226</v>
      </c>
      <c r="F142" s="114">
        <v>97</v>
      </c>
      <c r="G142" s="114" t="s">
        <v>906</v>
      </c>
    </row>
    <row r="143" spans="1:7">
      <c r="A143" s="114" t="s">
        <v>883</v>
      </c>
      <c r="B143" s="114" t="s">
        <v>883</v>
      </c>
      <c r="C143" s="114" t="s">
        <v>345</v>
      </c>
      <c r="D143" s="114" t="s">
        <v>1027</v>
      </c>
      <c r="E143" s="114" t="s">
        <v>675</v>
      </c>
      <c r="F143" s="114">
        <v>20</v>
      </c>
      <c r="G143" s="114" t="s">
        <v>906</v>
      </c>
    </row>
  </sheetData>
  <sheetProtection password="C50C" sheet="1" objects="1" scenarios="1"/>
  <phoneticPr fontId="5" type="noConversion"/>
  <conditionalFormatting sqref="E37">
    <cfRule type="cellIs" dxfId="2" priority="3" stopIfTrue="1" operator="equal">
      <formula>#N/A</formula>
    </cfRule>
  </conditionalFormatting>
  <conditionalFormatting sqref="E21:F33">
    <cfRule type="cellIs" dxfId="1" priority="1" stopIfTrue="1" operator="equal">
      <formula>0</formula>
    </cfRule>
    <cfRule type="cellIs" dxfId="0" priority="2" stopIfTrue="1" operator="equal">
      <formula>#N/A</formula>
    </cfRule>
  </conditionalFormatting>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sheetPr codeName="Sheet11"/>
  <dimension ref="A1:E153"/>
  <sheetViews>
    <sheetView workbookViewId="0"/>
  </sheetViews>
  <sheetFormatPr defaultRowHeight="12.75"/>
  <cols>
    <col min="1" max="1" width="9.140625" style="59"/>
    <col min="2" max="2" width="16.28515625" style="59" customWidth="1"/>
    <col min="3" max="4" width="9.140625" style="33"/>
    <col min="5" max="5" width="18.85546875" style="33" bestFit="1" customWidth="1"/>
    <col min="6" max="16384" width="9.140625" style="33"/>
  </cols>
  <sheetData>
    <row r="1" spans="1:5">
      <c r="A1" s="60" t="s">
        <v>756</v>
      </c>
      <c r="B1" s="60" t="s">
        <v>757</v>
      </c>
    </row>
    <row r="2" spans="1:5">
      <c r="A2" s="89">
        <v>30</v>
      </c>
      <c r="B2" s="62" t="s">
        <v>856</v>
      </c>
      <c r="D2" s="67"/>
      <c r="E2" s="67"/>
    </row>
    <row r="3" spans="1:5">
      <c r="A3" s="89">
        <v>30</v>
      </c>
      <c r="B3" s="62" t="s">
        <v>857</v>
      </c>
      <c r="D3" s="67"/>
      <c r="E3" s="67"/>
    </row>
    <row r="4" spans="1:5">
      <c r="A4" s="89">
        <v>30</v>
      </c>
      <c r="B4" s="62" t="s">
        <v>858</v>
      </c>
      <c r="D4" s="67"/>
      <c r="E4" s="67"/>
    </row>
    <row r="5" spans="1:5">
      <c r="A5" s="89">
        <v>30</v>
      </c>
      <c r="B5" s="62" t="s">
        <v>859</v>
      </c>
      <c r="D5" s="67"/>
      <c r="E5" s="67"/>
    </row>
    <row r="6" spans="1:5">
      <c r="A6" s="89">
        <v>30</v>
      </c>
      <c r="B6" s="62" t="s">
        <v>860</v>
      </c>
      <c r="D6" s="67"/>
      <c r="E6" s="67"/>
    </row>
    <row r="7" spans="1:5">
      <c r="A7" s="89">
        <v>30</v>
      </c>
      <c r="B7" s="62" t="s">
        <v>861</v>
      </c>
      <c r="D7" s="67"/>
      <c r="E7" s="67"/>
    </row>
    <row r="8" spans="1:5">
      <c r="A8" s="89">
        <v>30</v>
      </c>
      <c r="B8" s="62" t="s">
        <v>500</v>
      </c>
      <c r="D8" s="67"/>
      <c r="E8" s="67"/>
    </row>
    <row r="9" spans="1:5">
      <c r="A9" s="89">
        <v>30</v>
      </c>
      <c r="B9" s="62" t="s">
        <v>501</v>
      </c>
      <c r="D9" s="67"/>
      <c r="E9" s="67"/>
    </row>
    <row r="10" spans="1:5">
      <c r="A10" s="89">
        <v>30</v>
      </c>
      <c r="B10" s="62" t="s">
        <v>502</v>
      </c>
      <c r="D10" s="67"/>
      <c r="E10" s="67"/>
    </row>
    <row r="11" spans="1:5">
      <c r="A11" s="89">
        <v>30</v>
      </c>
      <c r="B11" s="62" t="s">
        <v>503</v>
      </c>
      <c r="D11" s="67"/>
      <c r="E11" s="67"/>
    </row>
    <row r="12" spans="1:5">
      <c r="A12" s="89">
        <v>30</v>
      </c>
      <c r="B12" s="62" t="s">
        <v>504</v>
      </c>
      <c r="D12" s="67"/>
      <c r="E12" s="67"/>
    </row>
    <row r="13" spans="1:5">
      <c r="A13" s="89">
        <v>31.7</v>
      </c>
      <c r="B13" s="62" t="s">
        <v>505</v>
      </c>
      <c r="D13" s="67"/>
      <c r="E13" s="67"/>
    </row>
    <row r="14" spans="1:5">
      <c r="A14" s="89">
        <v>33.4</v>
      </c>
      <c r="B14" s="62" t="s">
        <v>506</v>
      </c>
      <c r="D14" s="67"/>
      <c r="E14" s="67"/>
    </row>
    <row r="15" spans="1:5">
      <c r="A15" s="89">
        <v>35.1</v>
      </c>
      <c r="B15" s="62" t="s">
        <v>507</v>
      </c>
      <c r="D15" s="67"/>
      <c r="E15" s="67"/>
    </row>
    <row r="16" spans="1:5">
      <c r="A16" s="89">
        <v>36.799999999999997</v>
      </c>
      <c r="B16" s="62" t="s">
        <v>246</v>
      </c>
      <c r="D16" s="67"/>
      <c r="E16" s="67"/>
    </row>
    <row r="17" spans="1:5">
      <c r="A17" s="89">
        <v>38.5</v>
      </c>
      <c r="B17" s="62" t="s">
        <v>247</v>
      </c>
      <c r="D17" s="67"/>
      <c r="E17" s="67"/>
    </row>
    <row r="18" spans="1:5">
      <c r="A18" s="89">
        <v>40.200000000000003</v>
      </c>
      <c r="B18" s="62" t="s">
        <v>248</v>
      </c>
      <c r="D18" s="67"/>
      <c r="E18" s="67"/>
    </row>
    <row r="19" spans="1:5">
      <c r="A19" s="89">
        <v>41.9</v>
      </c>
      <c r="B19" s="62" t="s">
        <v>249</v>
      </c>
      <c r="D19" s="67"/>
      <c r="E19" s="67"/>
    </row>
    <row r="20" spans="1:5">
      <c r="A20" s="89">
        <v>43.6</v>
      </c>
      <c r="B20" s="62" t="s">
        <v>250</v>
      </c>
      <c r="D20" s="67"/>
      <c r="E20" s="67"/>
    </row>
    <row r="21" spans="1:5">
      <c r="A21" s="89">
        <v>45.3</v>
      </c>
      <c r="B21" s="62" t="s">
        <v>251</v>
      </c>
      <c r="D21" s="67"/>
      <c r="E21" s="67"/>
    </row>
    <row r="22" spans="1:5">
      <c r="A22" s="89">
        <v>65</v>
      </c>
      <c r="B22" s="62" t="s">
        <v>144</v>
      </c>
      <c r="D22" s="67"/>
      <c r="E22" s="67"/>
    </row>
    <row r="23" spans="1:5">
      <c r="A23" s="89">
        <v>65</v>
      </c>
      <c r="B23" s="62" t="s">
        <v>145</v>
      </c>
      <c r="D23" s="67"/>
      <c r="E23" s="67"/>
    </row>
    <row r="24" spans="1:5">
      <c r="A24" s="89">
        <v>65</v>
      </c>
      <c r="B24" s="62" t="s">
        <v>146</v>
      </c>
      <c r="D24" s="67"/>
      <c r="E24" s="67"/>
    </row>
    <row r="25" spans="1:5">
      <c r="A25" s="89">
        <v>65</v>
      </c>
      <c r="B25" s="62" t="s">
        <v>147</v>
      </c>
      <c r="D25" s="67"/>
      <c r="E25" s="67"/>
    </row>
    <row r="26" spans="1:5">
      <c r="A26" s="89">
        <v>65</v>
      </c>
      <c r="B26" s="62" t="s">
        <v>148</v>
      </c>
      <c r="D26" s="67"/>
      <c r="E26" s="67"/>
    </row>
    <row r="27" spans="1:5">
      <c r="A27" s="89">
        <v>65</v>
      </c>
      <c r="B27" s="62" t="s">
        <v>149</v>
      </c>
      <c r="D27" s="67"/>
      <c r="E27" s="67"/>
    </row>
    <row r="28" spans="1:5">
      <c r="A28" s="89">
        <v>65</v>
      </c>
      <c r="B28" s="62" t="s">
        <v>150</v>
      </c>
      <c r="D28" s="67"/>
      <c r="E28" s="67"/>
    </row>
    <row r="29" spans="1:5">
      <c r="A29" s="89">
        <v>65</v>
      </c>
      <c r="B29" s="62" t="s">
        <v>151</v>
      </c>
      <c r="D29" s="67"/>
      <c r="E29" s="67"/>
    </row>
    <row r="30" spans="1:5">
      <c r="A30" s="89">
        <v>65</v>
      </c>
      <c r="B30" s="62" t="s">
        <v>152</v>
      </c>
      <c r="D30" s="67"/>
      <c r="E30" s="67"/>
    </row>
    <row r="31" spans="1:5">
      <c r="A31" s="89">
        <v>65</v>
      </c>
      <c r="B31" s="62" t="s">
        <v>153</v>
      </c>
      <c r="D31" s="67"/>
      <c r="E31" s="67"/>
    </row>
    <row r="32" spans="1:5">
      <c r="A32" s="89">
        <v>65</v>
      </c>
      <c r="B32" s="62" t="s">
        <v>154</v>
      </c>
      <c r="D32" s="67"/>
      <c r="E32" s="67"/>
    </row>
    <row r="33" spans="1:5">
      <c r="A33" s="89">
        <v>66.7</v>
      </c>
      <c r="B33" s="62" t="s">
        <v>155</v>
      </c>
      <c r="D33" s="67"/>
      <c r="E33" s="67"/>
    </row>
    <row r="34" spans="1:5">
      <c r="A34" s="89">
        <v>68.400000000000006</v>
      </c>
      <c r="B34" s="62" t="s">
        <v>156</v>
      </c>
      <c r="D34" s="67"/>
      <c r="E34" s="67"/>
    </row>
    <row r="35" spans="1:5">
      <c r="A35" s="89">
        <v>70.099999999999994</v>
      </c>
      <c r="B35" s="62" t="s">
        <v>572</v>
      </c>
      <c r="D35" s="67"/>
      <c r="E35" s="67"/>
    </row>
    <row r="36" spans="1:5">
      <c r="A36" s="89">
        <v>71.8</v>
      </c>
      <c r="B36" s="62" t="s">
        <v>573</v>
      </c>
      <c r="D36" s="67"/>
      <c r="E36" s="67"/>
    </row>
    <row r="37" spans="1:5">
      <c r="A37" s="89">
        <v>73.5</v>
      </c>
      <c r="B37" s="62" t="s">
        <v>188</v>
      </c>
      <c r="D37" s="67"/>
      <c r="E37" s="67"/>
    </row>
    <row r="38" spans="1:5">
      <c r="A38" s="89">
        <v>75.2</v>
      </c>
      <c r="B38" s="62" t="s">
        <v>189</v>
      </c>
      <c r="D38" s="67"/>
      <c r="E38" s="67"/>
    </row>
    <row r="39" spans="1:5">
      <c r="A39" s="89">
        <v>76.900000000000006</v>
      </c>
      <c r="B39" s="62" t="s">
        <v>776</v>
      </c>
      <c r="D39" s="67"/>
      <c r="E39" s="67"/>
    </row>
    <row r="40" spans="1:5">
      <c r="A40" s="89">
        <v>78.599999999999994</v>
      </c>
      <c r="B40" s="62" t="s">
        <v>777</v>
      </c>
      <c r="D40" s="67"/>
      <c r="E40" s="67"/>
    </row>
    <row r="41" spans="1:5">
      <c r="A41" s="89">
        <v>80.3</v>
      </c>
      <c r="B41" s="62" t="s">
        <v>331</v>
      </c>
      <c r="D41" s="67"/>
      <c r="E41" s="67"/>
    </row>
    <row r="42" spans="1:5">
      <c r="A42" s="89">
        <v>82</v>
      </c>
      <c r="B42" s="62" t="s">
        <v>332</v>
      </c>
      <c r="D42" s="67"/>
      <c r="E42" s="67"/>
    </row>
    <row r="43" spans="1:5">
      <c r="A43" s="89">
        <v>84.1</v>
      </c>
      <c r="B43" s="62" t="s">
        <v>606</v>
      </c>
      <c r="D43" s="67"/>
      <c r="E43" s="67"/>
    </row>
    <row r="44" spans="1:5">
      <c r="A44" s="89">
        <v>86.2</v>
      </c>
      <c r="B44" s="62" t="s">
        <v>607</v>
      </c>
      <c r="D44" s="67"/>
      <c r="E44" s="67"/>
    </row>
    <row r="45" spans="1:5">
      <c r="A45" s="89">
        <v>88.3</v>
      </c>
      <c r="B45" s="62" t="s">
        <v>930</v>
      </c>
      <c r="D45" s="67"/>
      <c r="E45" s="67"/>
    </row>
    <row r="46" spans="1:5">
      <c r="A46" s="89">
        <v>90.4</v>
      </c>
      <c r="B46" s="62" t="s">
        <v>931</v>
      </c>
      <c r="D46" s="67"/>
      <c r="E46" s="67"/>
    </row>
    <row r="47" spans="1:5">
      <c r="A47" s="89">
        <v>92.5</v>
      </c>
      <c r="B47" s="62" t="s">
        <v>932</v>
      </c>
      <c r="D47" s="67"/>
      <c r="E47" s="67"/>
    </row>
    <row r="48" spans="1:5">
      <c r="A48" s="89">
        <v>94.6</v>
      </c>
      <c r="B48" s="62" t="s">
        <v>933</v>
      </c>
      <c r="D48" s="67"/>
      <c r="E48" s="67"/>
    </row>
    <row r="49" spans="1:5">
      <c r="A49" s="89">
        <v>96.7</v>
      </c>
      <c r="B49" s="62" t="s">
        <v>934</v>
      </c>
      <c r="D49" s="67"/>
      <c r="E49" s="67"/>
    </row>
    <row r="50" spans="1:5">
      <c r="A50" s="89">
        <v>98.8</v>
      </c>
      <c r="B50" s="62" t="s">
        <v>935</v>
      </c>
      <c r="D50" s="67"/>
      <c r="E50" s="67"/>
    </row>
    <row r="51" spans="1:5">
      <c r="A51" s="89">
        <v>100.9</v>
      </c>
      <c r="B51" s="62" t="s">
        <v>936</v>
      </c>
      <c r="D51" s="67"/>
      <c r="E51" s="67"/>
    </row>
    <row r="52" spans="1:5">
      <c r="A52" s="89">
        <v>103</v>
      </c>
      <c r="B52" s="62" t="s">
        <v>288</v>
      </c>
      <c r="D52" s="67"/>
      <c r="E52" s="67"/>
    </row>
    <row r="53" spans="1:5">
      <c r="A53" s="89">
        <v>107</v>
      </c>
      <c r="B53" s="62" t="s">
        <v>289</v>
      </c>
      <c r="D53" s="67"/>
      <c r="E53" s="67"/>
    </row>
    <row r="54" spans="1:5">
      <c r="A54" s="89">
        <v>111</v>
      </c>
      <c r="B54" s="62" t="s">
        <v>290</v>
      </c>
      <c r="D54" s="67"/>
      <c r="E54" s="67"/>
    </row>
    <row r="55" spans="1:5">
      <c r="A55" s="89">
        <v>115</v>
      </c>
      <c r="B55" s="62" t="s">
        <v>291</v>
      </c>
      <c r="D55" s="67"/>
      <c r="E55" s="67"/>
    </row>
    <row r="56" spans="1:5">
      <c r="A56" s="89">
        <v>119</v>
      </c>
      <c r="B56" s="62" t="s">
        <v>231</v>
      </c>
      <c r="D56" s="67"/>
      <c r="E56" s="67"/>
    </row>
    <row r="57" spans="1:5">
      <c r="A57" s="89">
        <v>123</v>
      </c>
      <c r="B57" s="62" t="s">
        <v>492</v>
      </c>
      <c r="D57" s="67"/>
      <c r="E57" s="67"/>
    </row>
    <row r="58" spans="1:5">
      <c r="A58" s="89">
        <v>127</v>
      </c>
      <c r="B58" s="62" t="s">
        <v>493</v>
      </c>
      <c r="D58" s="67"/>
      <c r="E58" s="67"/>
    </row>
    <row r="59" spans="1:5">
      <c r="A59" s="89">
        <v>131</v>
      </c>
      <c r="B59" s="62" t="s">
        <v>585</v>
      </c>
      <c r="D59" s="67"/>
      <c r="E59" s="67"/>
    </row>
    <row r="60" spans="1:5">
      <c r="A60" s="89">
        <v>135</v>
      </c>
      <c r="B60" s="62" t="s">
        <v>295</v>
      </c>
      <c r="D60" s="67"/>
      <c r="E60" s="67"/>
    </row>
    <row r="61" spans="1:5">
      <c r="A61" s="89">
        <v>139</v>
      </c>
      <c r="B61" s="62" t="s">
        <v>296</v>
      </c>
      <c r="D61" s="67"/>
      <c r="E61" s="67"/>
    </row>
    <row r="62" spans="1:5">
      <c r="A62" s="89">
        <v>143</v>
      </c>
      <c r="B62" s="62" t="s">
        <v>297</v>
      </c>
      <c r="D62" s="67"/>
      <c r="E62" s="67"/>
    </row>
    <row r="63" spans="1:5">
      <c r="A63" s="89">
        <v>149.5</v>
      </c>
      <c r="B63" s="62" t="s">
        <v>298</v>
      </c>
      <c r="D63" s="67"/>
      <c r="E63" s="67"/>
    </row>
    <row r="64" spans="1:5">
      <c r="A64" s="89">
        <v>156</v>
      </c>
      <c r="B64" s="62" t="s">
        <v>299</v>
      </c>
      <c r="D64" s="67"/>
      <c r="E64" s="67"/>
    </row>
    <row r="65" spans="1:5">
      <c r="A65" s="89">
        <v>162.5</v>
      </c>
      <c r="B65" s="62" t="s">
        <v>300</v>
      </c>
      <c r="D65" s="67"/>
      <c r="E65" s="67"/>
    </row>
    <row r="66" spans="1:5">
      <c r="A66" s="89">
        <v>169</v>
      </c>
      <c r="B66" s="62" t="s">
        <v>70</v>
      </c>
      <c r="D66" s="67"/>
      <c r="E66" s="67"/>
    </row>
    <row r="67" spans="1:5">
      <c r="A67" s="89">
        <v>175.5</v>
      </c>
      <c r="B67" s="62" t="s">
        <v>71</v>
      </c>
      <c r="D67" s="67"/>
      <c r="E67" s="67"/>
    </row>
    <row r="68" spans="1:5">
      <c r="A68" s="89">
        <v>182</v>
      </c>
      <c r="B68" s="62" t="s">
        <v>72</v>
      </c>
      <c r="D68" s="67"/>
      <c r="E68" s="67"/>
    </row>
    <row r="69" spans="1:5">
      <c r="A69" s="89">
        <v>188.5</v>
      </c>
      <c r="B69" s="62" t="s">
        <v>64</v>
      </c>
      <c r="D69" s="67"/>
      <c r="E69" s="67"/>
    </row>
    <row r="70" spans="1:5">
      <c r="A70" s="89">
        <v>195</v>
      </c>
      <c r="B70" s="62" t="s">
        <v>65</v>
      </c>
      <c r="D70" s="67"/>
      <c r="E70" s="67"/>
    </row>
    <row r="71" spans="1:5">
      <c r="A71" s="89">
        <v>201.5</v>
      </c>
      <c r="B71" s="62" t="s">
        <v>66</v>
      </c>
      <c r="D71" s="67"/>
      <c r="E71" s="67"/>
    </row>
    <row r="72" spans="1:5">
      <c r="A72" s="89">
        <v>208</v>
      </c>
      <c r="B72" s="62" t="s">
        <v>67</v>
      </c>
      <c r="D72" s="67"/>
      <c r="E72" s="67"/>
    </row>
    <row r="73" spans="1:5">
      <c r="D73" s="67"/>
      <c r="E73" s="67"/>
    </row>
    <row r="74" spans="1:5">
      <c r="D74" s="67"/>
      <c r="E74" s="67"/>
    </row>
    <row r="75" spans="1:5">
      <c r="D75" s="67"/>
      <c r="E75" s="67"/>
    </row>
    <row r="76" spans="1:5">
      <c r="D76" s="67"/>
      <c r="E76" s="67"/>
    </row>
    <row r="77" spans="1:5">
      <c r="D77" s="67"/>
      <c r="E77" s="67"/>
    </row>
    <row r="78" spans="1:5">
      <c r="D78" s="67"/>
      <c r="E78" s="67"/>
    </row>
    <row r="79" spans="1:5">
      <c r="D79" s="67"/>
      <c r="E79" s="67"/>
    </row>
    <row r="80" spans="1:5">
      <c r="D80" s="67"/>
      <c r="E80" s="67"/>
    </row>
    <row r="81" spans="4:5">
      <c r="D81" s="67"/>
      <c r="E81" s="67"/>
    </row>
    <row r="82" spans="4:5">
      <c r="D82" s="67"/>
      <c r="E82" s="67"/>
    </row>
    <row r="83" spans="4:5">
      <c r="D83" s="67"/>
      <c r="E83" s="67"/>
    </row>
    <row r="84" spans="4:5">
      <c r="D84" s="67"/>
      <c r="E84" s="67"/>
    </row>
    <row r="85" spans="4:5">
      <c r="D85" s="67"/>
      <c r="E85" s="67"/>
    </row>
    <row r="86" spans="4:5">
      <c r="D86" s="67"/>
      <c r="E86" s="67"/>
    </row>
    <row r="87" spans="4:5">
      <c r="D87" s="67"/>
      <c r="E87" s="67"/>
    </row>
    <row r="88" spans="4:5">
      <c r="D88" s="67"/>
      <c r="E88" s="67"/>
    </row>
    <row r="89" spans="4:5">
      <c r="D89" s="67"/>
      <c r="E89" s="67"/>
    </row>
    <row r="90" spans="4:5">
      <c r="D90" s="67"/>
      <c r="E90" s="67"/>
    </row>
    <row r="91" spans="4:5">
      <c r="D91" s="67"/>
      <c r="E91" s="67"/>
    </row>
    <row r="92" spans="4:5">
      <c r="D92" s="67"/>
      <c r="E92" s="67"/>
    </row>
    <row r="93" spans="4:5">
      <c r="D93" s="67"/>
      <c r="E93" s="67"/>
    </row>
    <row r="94" spans="4:5">
      <c r="D94" s="67"/>
      <c r="E94" s="67"/>
    </row>
    <row r="95" spans="4:5">
      <c r="D95" s="67"/>
      <c r="E95" s="67"/>
    </row>
    <row r="96" spans="4:5">
      <c r="D96" s="67"/>
      <c r="E96" s="67"/>
    </row>
    <row r="97" spans="4:5">
      <c r="D97" s="67"/>
      <c r="E97" s="67"/>
    </row>
    <row r="98" spans="4:5">
      <c r="D98" s="67"/>
      <c r="E98" s="67"/>
    </row>
    <row r="99" spans="4:5">
      <c r="D99" s="67"/>
      <c r="E99" s="67"/>
    </row>
    <row r="100" spans="4:5">
      <c r="D100" s="67"/>
      <c r="E100" s="67"/>
    </row>
    <row r="101" spans="4:5">
      <c r="D101" s="67"/>
      <c r="E101" s="67"/>
    </row>
    <row r="102" spans="4:5">
      <c r="D102" s="67"/>
      <c r="E102" s="67"/>
    </row>
    <row r="103" spans="4:5">
      <c r="D103" s="67"/>
      <c r="E103" s="67"/>
    </row>
    <row r="104" spans="4:5">
      <c r="D104" s="67"/>
      <c r="E104" s="67"/>
    </row>
    <row r="105" spans="4:5">
      <c r="D105" s="67"/>
      <c r="E105" s="67"/>
    </row>
    <row r="106" spans="4:5">
      <c r="D106" s="67"/>
      <c r="E106" s="67"/>
    </row>
    <row r="107" spans="4:5">
      <c r="D107" s="67"/>
      <c r="E107" s="67"/>
    </row>
    <row r="108" spans="4:5">
      <c r="D108" s="67"/>
      <c r="E108" s="67"/>
    </row>
    <row r="109" spans="4:5">
      <c r="D109" s="67"/>
      <c r="E109" s="67"/>
    </row>
    <row r="110" spans="4:5">
      <c r="D110" s="67"/>
      <c r="E110" s="67"/>
    </row>
    <row r="111" spans="4:5">
      <c r="D111" s="67"/>
      <c r="E111" s="67"/>
    </row>
    <row r="112" spans="4:5">
      <c r="D112" s="67"/>
      <c r="E112" s="67"/>
    </row>
    <row r="113" spans="4:5">
      <c r="D113" s="67"/>
      <c r="E113" s="67"/>
    </row>
    <row r="114" spans="4:5">
      <c r="D114" s="67"/>
      <c r="E114" s="67"/>
    </row>
    <row r="115" spans="4:5">
      <c r="D115" s="67"/>
      <c r="E115" s="67"/>
    </row>
    <row r="116" spans="4:5">
      <c r="D116" s="67"/>
      <c r="E116" s="67"/>
    </row>
    <row r="117" spans="4:5">
      <c r="D117" s="67"/>
      <c r="E117" s="67"/>
    </row>
    <row r="118" spans="4:5">
      <c r="D118" s="67"/>
      <c r="E118" s="67"/>
    </row>
    <row r="119" spans="4:5">
      <c r="D119" s="67"/>
      <c r="E119" s="67"/>
    </row>
    <row r="120" spans="4:5">
      <c r="D120" s="67"/>
      <c r="E120" s="67"/>
    </row>
    <row r="121" spans="4:5">
      <c r="D121" s="67"/>
      <c r="E121" s="67"/>
    </row>
    <row r="122" spans="4:5">
      <c r="D122" s="67"/>
      <c r="E122" s="67"/>
    </row>
    <row r="123" spans="4:5">
      <c r="D123" s="67"/>
      <c r="E123" s="67"/>
    </row>
    <row r="124" spans="4:5">
      <c r="D124" s="67"/>
      <c r="E124" s="67"/>
    </row>
    <row r="125" spans="4:5">
      <c r="D125" s="67"/>
      <c r="E125" s="67"/>
    </row>
    <row r="126" spans="4:5">
      <c r="D126" s="67"/>
      <c r="E126" s="67"/>
    </row>
    <row r="127" spans="4:5">
      <c r="D127" s="67"/>
      <c r="E127" s="67"/>
    </row>
    <row r="128" spans="4:5">
      <c r="D128" s="67"/>
      <c r="E128" s="67"/>
    </row>
    <row r="129" spans="4:5">
      <c r="D129" s="67"/>
      <c r="E129" s="67"/>
    </row>
    <row r="130" spans="4:5">
      <c r="D130" s="67"/>
      <c r="E130" s="67"/>
    </row>
    <row r="131" spans="4:5">
      <c r="D131" s="67"/>
      <c r="E131" s="67"/>
    </row>
    <row r="132" spans="4:5">
      <c r="D132" s="67"/>
      <c r="E132" s="67"/>
    </row>
    <row r="133" spans="4:5">
      <c r="D133" s="67"/>
      <c r="E133" s="67"/>
    </row>
    <row r="134" spans="4:5">
      <c r="D134" s="67"/>
      <c r="E134" s="67"/>
    </row>
    <row r="135" spans="4:5">
      <c r="D135" s="67"/>
      <c r="E135" s="67"/>
    </row>
    <row r="136" spans="4:5">
      <c r="D136" s="67"/>
      <c r="E136" s="67"/>
    </row>
    <row r="137" spans="4:5">
      <c r="D137" s="67"/>
      <c r="E137" s="67"/>
    </row>
    <row r="138" spans="4:5">
      <c r="D138" s="67"/>
      <c r="E138" s="67"/>
    </row>
    <row r="139" spans="4:5">
      <c r="D139" s="67"/>
      <c r="E139" s="67"/>
    </row>
    <row r="140" spans="4:5">
      <c r="D140" s="67"/>
      <c r="E140" s="67"/>
    </row>
    <row r="141" spans="4:5">
      <c r="D141" s="67"/>
      <c r="E141" s="67"/>
    </row>
    <row r="142" spans="4:5">
      <c r="D142" s="67"/>
      <c r="E142" s="67"/>
    </row>
    <row r="143" spans="4:5">
      <c r="D143" s="67"/>
      <c r="E143" s="67"/>
    </row>
    <row r="144" spans="4:5">
      <c r="D144" s="67"/>
      <c r="E144" s="67"/>
    </row>
    <row r="145" spans="4:5">
      <c r="D145" s="67"/>
      <c r="E145" s="67"/>
    </row>
    <row r="146" spans="4:5">
      <c r="D146" s="67"/>
      <c r="E146" s="67"/>
    </row>
    <row r="147" spans="4:5">
      <c r="D147" s="67"/>
      <c r="E147" s="67"/>
    </row>
    <row r="148" spans="4:5">
      <c r="D148" s="67"/>
      <c r="E148" s="67"/>
    </row>
    <row r="149" spans="4:5">
      <c r="D149" s="67"/>
      <c r="E149" s="67"/>
    </row>
    <row r="150" spans="4:5">
      <c r="D150" s="67"/>
      <c r="E150" s="67"/>
    </row>
    <row r="151" spans="4:5">
      <c r="D151" s="67"/>
      <c r="E151" s="67"/>
    </row>
    <row r="152" spans="4:5">
      <c r="D152" s="67"/>
      <c r="E152" s="67"/>
    </row>
    <row r="153" spans="4:5">
      <c r="D153" s="67"/>
      <c r="E153" s="67"/>
    </row>
  </sheetData>
  <sheetProtection password="C50C" sheet="1" objects="1" scenarios="1"/>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G5"/>
  <sheetViews>
    <sheetView tabSelected="1" workbookViewId="0">
      <selection activeCell="A2" sqref="A2:B2"/>
    </sheetView>
  </sheetViews>
  <sheetFormatPr defaultRowHeight="15"/>
  <cols>
    <col min="1" max="1" width="14.7109375" style="248" customWidth="1"/>
    <col min="2" max="2" width="27" style="249" customWidth="1"/>
    <col min="3" max="3" width="26.7109375" style="248" customWidth="1"/>
    <col min="4" max="4" width="26.28515625" style="248" customWidth="1"/>
    <col min="5" max="5" width="26.85546875" style="248" customWidth="1"/>
    <col min="6" max="6" width="26.28515625" style="248" customWidth="1"/>
    <col min="7" max="7" width="27.140625" style="248" customWidth="1"/>
    <col min="8" max="16384" width="9.140625" style="248"/>
  </cols>
  <sheetData>
    <row r="1" spans="1:7" ht="15.75" thickBot="1">
      <c r="A1" s="250"/>
    </row>
    <row r="2" spans="1:7" s="251" customFormat="1" ht="18.75" thickBot="1">
      <c r="A2" s="405" t="s">
        <v>1126</v>
      </c>
      <c r="B2" s="406"/>
      <c r="C2" s="407" t="s">
        <v>1131</v>
      </c>
      <c r="D2" s="408"/>
      <c r="E2" s="408"/>
      <c r="F2" s="408"/>
      <c r="G2" s="409"/>
    </row>
    <row r="3" spans="1:7" s="251" customFormat="1" ht="17.25">
      <c r="A3" s="252" t="s">
        <v>1127</v>
      </c>
      <c r="B3" s="253"/>
      <c r="C3" s="254" t="s">
        <v>1311</v>
      </c>
      <c r="D3" s="254" t="s">
        <v>1312</v>
      </c>
      <c r="E3" s="254" t="s">
        <v>1313</v>
      </c>
      <c r="F3" s="254" t="s">
        <v>1314</v>
      </c>
      <c r="G3" s="254" t="s">
        <v>1315</v>
      </c>
    </row>
    <row r="4" spans="1:7" s="251" customFormat="1" ht="34.5">
      <c r="A4" s="255" t="s">
        <v>1128</v>
      </c>
      <c r="B4" s="256" t="s">
        <v>1129</v>
      </c>
      <c r="C4" s="256" t="s">
        <v>1129</v>
      </c>
      <c r="D4" s="256" t="s">
        <v>1129</v>
      </c>
      <c r="E4" s="256" t="s">
        <v>1129</v>
      </c>
      <c r="F4" s="256" t="s">
        <v>1129</v>
      </c>
      <c r="G4" s="257" t="s">
        <v>1129</v>
      </c>
    </row>
    <row r="5" spans="1:7" s="251" customFormat="1" ht="35.25" thickBot="1">
      <c r="A5" s="258" t="s">
        <v>1130</v>
      </c>
      <c r="B5" s="256" t="s">
        <v>1129</v>
      </c>
      <c r="C5" s="256" t="s">
        <v>1129</v>
      </c>
      <c r="D5" s="256" t="s">
        <v>1129</v>
      </c>
      <c r="E5" s="256" t="s">
        <v>1129</v>
      </c>
      <c r="F5" s="256" t="s">
        <v>1129</v>
      </c>
      <c r="G5" s="256" t="s">
        <v>1129</v>
      </c>
    </row>
  </sheetData>
  <mergeCells count="2">
    <mergeCell ref="A2:B2"/>
    <mergeCell ref="C2:G2"/>
  </mergeCells>
  <phoneticPr fontId="38" type="noConversion"/>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sheetPr codeName="Sheet7" enableFormatConditionsCalculation="0">
    <tabColor rgb="FF92D050"/>
  </sheetPr>
  <dimension ref="A1:M23"/>
  <sheetViews>
    <sheetView workbookViewId="0">
      <selection sqref="A1:I1"/>
    </sheetView>
  </sheetViews>
  <sheetFormatPr defaultRowHeight="13.5"/>
  <cols>
    <col min="1" max="1" width="25.140625" style="264" customWidth="1"/>
    <col min="2" max="2" width="14.5703125" style="264" customWidth="1"/>
    <col min="3" max="3" width="8.7109375" style="264" customWidth="1"/>
    <col min="4" max="4" width="17.28515625" style="264" customWidth="1"/>
    <col min="5" max="7" width="15" style="264" customWidth="1"/>
    <col min="8" max="8" width="21.5703125" style="264" customWidth="1"/>
    <col min="9" max="9" width="35.140625" style="264" customWidth="1"/>
    <col min="10" max="12" width="9.140625" style="264"/>
    <col min="13" max="13" width="13.85546875" style="264" customWidth="1"/>
    <col min="14" max="16384" width="9.140625" style="264"/>
  </cols>
  <sheetData>
    <row r="1" spans="1:13" s="259" customFormat="1" ht="31.5" customHeight="1" thickBot="1">
      <c r="A1" s="412" t="s">
        <v>1263</v>
      </c>
      <c r="B1" s="412"/>
      <c r="C1" s="412"/>
      <c r="D1" s="412"/>
      <c r="E1" s="412"/>
      <c r="F1" s="412"/>
      <c r="G1" s="412"/>
      <c r="H1" s="412"/>
      <c r="I1" s="412"/>
    </row>
    <row r="2" spans="1:13" s="260" customFormat="1" ht="18.75" thickBot="1">
      <c r="A2" s="410"/>
      <c r="B2" s="411"/>
      <c r="C2" s="411"/>
      <c r="D2" s="411"/>
      <c r="E2" s="411"/>
      <c r="F2" s="411"/>
      <c r="G2" s="411"/>
      <c r="H2" s="411"/>
      <c r="I2" s="411"/>
    </row>
    <row r="3" spans="1:13">
      <c r="A3" s="261" t="s">
        <v>1133</v>
      </c>
      <c r="B3" s="262" t="s">
        <v>1132</v>
      </c>
      <c r="C3" s="263" t="s">
        <v>1134</v>
      </c>
      <c r="D3" s="263" t="s">
        <v>1140</v>
      </c>
      <c r="E3" s="263" t="s">
        <v>1135</v>
      </c>
      <c r="F3" s="263" t="s">
        <v>1158</v>
      </c>
      <c r="G3" s="263" t="s">
        <v>1136</v>
      </c>
      <c r="H3" s="262" t="s">
        <v>1160</v>
      </c>
      <c r="I3" s="262" t="s">
        <v>1139</v>
      </c>
      <c r="M3" s="264" t="s">
        <v>1145</v>
      </c>
    </row>
    <row r="4" spans="1:13" ht="14.25" thickBot="1">
      <c r="A4" s="265"/>
      <c r="B4" s="266"/>
      <c r="C4" s="267"/>
      <c r="D4" s="267"/>
      <c r="E4" s="267" t="s">
        <v>1147</v>
      </c>
      <c r="F4" s="267"/>
      <c r="G4" s="267" t="s">
        <v>1137</v>
      </c>
      <c r="H4" s="266" t="s">
        <v>1138</v>
      </c>
      <c r="I4" s="266" t="s">
        <v>1148</v>
      </c>
      <c r="M4" s="264" t="s">
        <v>1125</v>
      </c>
    </row>
    <row r="5" spans="1:13">
      <c r="A5" s="268" t="s">
        <v>1146</v>
      </c>
      <c r="B5" s="269" t="s">
        <v>1104</v>
      </c>
      <c r="C5" s="270">
        <v>1</v>
      </c>
      <c r="D5" s="270" t="s">
        <v>1141</v>
      </c>
      <c r="E5" s="271">
        <v>0</v>
      </c>
      <c r="F5" s="271" t="s">
        <v>1159</v>
      </c>
      <c r="G5" s="271"/>
      <c r="H5" s="271">
        <v>0</v>
      </c>
      <c r="I5" s="272">
        <v>60</v>
      </c>
      <c r="M5" s="264" t="s">
        <v>1105</v>
      </c>
    </row>
    <row r="6" spans="1:13">
      <c r="A6" s="273"/>
      <c r="B6" s="269"/>
      <c r="C6" s="270">
        <v>1</v>
      </c>
      <c r="D6" s="270"/>
      <c r="E6" s="271">
        <v>0</v>
      </c>
      <c r="F6" s="271"/>
      <c r="G6" s="271"/>
      <c r="H6" s="271">
        <v>0</v>
      </c>
      <c r="I6" s="272">
        <v>60</v>
      </c>
      <c r="K6" s="264" t="s">
        <v>1142</v>
      </c>
      <c r="M6" s="264" t="s">
        <v>1149</v>
      </c>
    </row>
    <row r="7" spans="1:13">
      <c r="A7" s="273"/>
      <c r="B7" s="269"/>
      <c r="C7" s="270">
        <v>1</v>
      </c>
      <c r="D7" s="270"/>
      <c r="E7" s="271">
        <v>0</v>
      </c>
      <c r="F7" s="271"/>
      <c r="G7" s="271"/>
      <c r="H7" s="271">
        <v>0</v>
      </c>
      <c r="I7" s="272">
        <v>60</v>
      </c>
      <c r="K7" s="264" t="s">
        <v>1144</v>
      </c>
      <c r="M7" s="264" t="s">
        <v>1150</v>
      </c>
    </row>
    <row r="8" spans="1:13">
      <c r="A8" s="273"/>
      <c r="B8" s="269"/>
      <c r="C8" s="270">
        <v>1</v>
      </c>
      <c r="D8" s="270"/>
      <c r="E8" s="271">
        <v>0</v>
      </c>
      <c r="F8" s="271"/>
      <c r="G8" s="271"/>
      <c r="H8" s="271">
        <v>0</v>
      </c>
      <c r="I8" s="272">
        <v>60</v>
      </c>
      <c r="M8" s="264" t="s">
        <v>1151</v>
      </c>
    </row>
    <row r="9" spans="1:13">
      <c r="A9" s="273"/>
      <c r="B9" s="269"/>
      <c r="C9" s="270">
        <v>1</v>
      </c>
      <c r="D9" s="270"/>
      <c r="E9" s="271">
        <v>0</v>
      </c>
      <c r="F9" s="271"/>
      <c r="G9" s="271"/>
      <c r="H9" s="271">
        <v>0</v>
      </c>
      <c r="I9" s="272">
        <v>60</v>
      </c>
      <c r="M9" s="264" t="s">
        <v>1152</v>
      </c>
    </row>
    <row r="10" spans="1:13">
      <c r="A10" s="273"/>
      <c r="B10" s="269"/>
      <c r="C10" s="270">
        <v>1</v>
      </c>
      <c r="D10" s="270"/>
      <c r="E10" s="271">
        <v>0</v>
      </c>
      <c r="F10" s="271"/>
      <c r="G10" s="271"/>
      <c r="H10" s="271">
        <v>0</v>
      </c>
      <c r="I10" s="272">
        <v>60</v>
      </c>
      <c r="M10" s="264" t="s">
        <v>1107</v>
      </c>
    </row>
    <row r="11" spans="1:13">
      <c r="A11" s="273"/>
      <c r="B11" s="269"/>
      <c r="C11" s="270">
        <v>1</v>
      </c>
      <c r="D11" s="270"/>
      <c r="E11" s="271">
        <v>0</v>
      </c>
      <c r="F11" s="271"/>
      <c r="G11" s="271"/>
      <c r="H11" s="271">
        <v>0</v>
      </c>
      <c r="I11" s="272">
        <v>60</v>
      </c>
      <c r="M11" s="264" t="s">
        <v>1108</v>
      </c>
    </row>
    <row r="12" spans="1:13">
      <c r="A12" s="273"/>
      <c r="B12" s="269"/>
      <c r="C12" s="270">
        <v>1</v>
      </c>
      <c r="D12" s="270"/>
      <c r="E12" s="271">
        <v>0</v>
      </c>
      <c r="F12" s="271"/>
      <c r="G12" s="271"/>
      <c r="H12" s="271">
        <v>0</v>
      </c>
      <c r="I12" s="272">
        <v>60</v>
      </c>
      <c r="M12" s="264" t="s">
        <v>1153</v>
      </c>
    </row>
    <row r="13" spans="1:13">
      <c r="A13" s="268"/>
      <c r="B13" s="269"/>
      <c r="C13" s="270">
        <v>1</v>
      </c>
      <c r="D13" s="270"/>
      <c r="E13" s="271">
        <v>0</v>
      </c>
      <c r="F13" s="271"/>
      <c r="G13" s="271"/>
      <c r="H13" s="271">
        <v>0</v>
      </c>
      <c r="I13" s="272">
        <v>60</v>
      </c>
      <c r="M13" s="264" t="s">
        <v>1106</v>
      </c>
    </row>
    <row r="14" spans="1:13">
      <c r="A14" s="273"/>
      <c r="B14" s="269"/>
      <c r="C14" s="270">
        <v>1</v>
      </c>
      <c r="D14" s="270"/>
      <c r="E14" s="271">
        <v>0</v>
      </c>
      <c r="F14" s="271"/>
      <c r="G14" s="271"/>
      <c r="H14" s="271">
        <v>0</v>
      </c>
      <c r="I14" s="272">
        <v>60</v>
      </c>
      <c r="M14" s="264" t="s">
        <v>1109</v>
      </c>
    </row>
    <row r="15" spans="1:13">
      <c r="A15" s="273"/>
      <c r="B15" s="269"/>
      <c r="C15" s="270">
        <v>1</v>
      </c>
      <c r="D15" s="270"/>
      <c r="E15" s="271">
        <v>0</v>
      </c>
      <c r="F15" s="271"/>
      <c r="G15" s="271"/>
      <c r="H15" s="271">
        <v>0</v>
      </c>
      <c r="I15" s="272">
        <v>60</v>
      </c>
      <c r="M15" s="264" t="s">
        <v>1112</v>
      </c>
    </row>
    <row r="16" spans="1:13" ht="14.25" thickBot="1">
      <c r="A16" s="273"/>
      <c r="B16" s="269"/>
      <c r="C16" s="270">
        <v>1</v>
      </c>
      <c r="D16" s="270"/>
      <c r="E16" s="271">
        <v>0</v>
      </c>
      <c r="F16" s="271"/>
      <c r="G16" s="271"/>
      <c r="H16" s="271">
        <v>0</v>
      </c>
      <c r="I16" s="272">
        <v>60</v>
      </c>
      <c r="M16" s="264" t="s">
        <v>1111</v>
      </c>
    </row>
    <row r="17" spans="1:13" ht="14.25" thickBot="1">
      <c r="A17" s="274" t="s">
        <v>1161</v>
      </c>
      <c r="B17" s="275"/>
      <c r="C17" s="276">
        <f>SUM(C5:C16)</f>
        <v>12</v>
      </c>
      <c r="D17" s="276"/>
      <c r="E17" s="277">
        <f>SUM(E5:E16)</f>
        <v>0</v>
      </c>
      <c r="F17" s="277"/>
      <c r="G17" s="277"/>
      <c r="H17" s="277">
        <f>SUM(H5:H16)</f>
        <v>0</v>
      </c>
      <c r="I17" s="275"/>
      <c r="M17" s="264" t="s">
        <v>1154</v>
      </c>
    </row>
    <row r="18" spans="1:13" s="260" customFormat="1" ht="12" customHeight="1">
      <c r="A18" s="278"/>
      <c r="B18" s="278"/>
      <c r="C18" s="279"/>
      <c r="D18" s="279"/>
      <c r="E18" s="279"/>
      <c r="F18" s="279"/>
      <c r="G18" s="279"/>
      <c r="H18" s="278"/>
      <c r="I18" s="278"/>
      <c r="M18" s="264" t="s">
        <v>1155</v>
      </c>
    </row>
    <row r="19" spans="1:13">
      <c r="M19" s="264" t="s">
        <v>1116</v>
      </c>
    </row>
    <row r="20" spans="1:13">
      <c r="M20" s="264" t="s">
        <v>1117</v>
      </c>
    </row>
    <row r="21" spans="1:13">
      <c r="M21" s="264" t="s">
        <v>1110</v>
      </c>
    </row>
    <row r="22" spans="1:13">
      <c r="M22" s="264" t="s">
        <v>1156</v>
      </c>
    </row>
    <row r="23" spans="1:13">
      <c r="M23" s="264" t="s">
        <v>1157</v>
      </c>
    </row>
  </sheetData>
  <mergeCells count="2">
    <mergeCell ref="A2:I2"/>
    <mergeCell ref="A1:I1"/>
  </mergeCells>
  <phoneticPr fontId="5" type="noConversion"/>
  <conditionalFormatting sqref="I5:I16">
    <cfRule type="expression" dxfId="3" priority="4" stopIfTrue="1">
      <formula>IF(#REF!&gt;0,TRUE,FALSE)</formula>
    </cfRule>
  </conditionalFormatting>
  <dataValidations xWindow="134" yWindow="236" count="4">
    <dataValidation type="whole" operator="greaterThan" allowBlank="1" showInputMessage="1" showErrorMessage="1" prompt="This cell cannot be set to 0 - if not required, please press DELETE to clear all contents" sqref="I5:I16">
      <formula1>0</formula1>
    </dataValidation>
    <dataValidation allowBlank="1" showInputMessage="1" showErrorMessage="1" prompt="Part names and/or numbers" sqref="A5:A16"/>
    <dataValidation type="list" allowBlank="1" showInputMessage="1" showErrorMessage="1" prompt="Select the correct hardware platform from the drop-down list.  Hint:  You can copy &amp; paste values here - providing they are valid." sqref="B5:B16">
      <formula1>$M$3:$M$23</formula1>
    </dataValidation>
    <dataValidation type="list" allowBlank="1" showInputMessage="1" showErrorMessage="1" sqref="D5:D16">
      <formula1>$K$6:$K$7</formula1>
    </dataValidation>
  </dataValidations>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sheetPr codeName="Sheet9" enableFormatConditionsCalculation="0">
    <tabColor rgb="FF92D050"/>
  </sheetPr>
  <dimension ref="A1:M18"/>
  <sheetViews>
    <sheetView workbookViewId="0">
      <selection sqref="A1:J1"/>
    </sheetView>
  </sheetViews>
  <sheetFormatPr defaultRowHeight="13.5"/>
  <cols>
    <col min="1" max="1" width="34.42578125" style="264" customWidth="1"/>
    <col min="2" max="2" width="13.140625" style="264" customWidth="1"/>
    <col min="3" max="3" width="12.85546875" style="264" customWidth="1"/>
    <col min="4" max="4" width="8.7109375" style="264" customWidth="1"/>
    <col min="5" max="5" width="21.28515625" style="264" customWidth="1"/>
    <col min="6" max="7" width="11.85546875" style="264" customWidth="1"/>
    <col min="8" max="8" width="16.7109375" style="264" customWidth="1"/>
    <col min="9" max="9" width="18.5703125" style="264" customWidth="1"/>
    <col min="10" max="12" width="9.140625" style="264"/>
    <col min="13" max="13" width="17.5703125" style="264" customWidth="1"/>
    <col min="14" max="16384" width="9.140625" style="264"/>
  </cols>
  <sheetData>
    <row r="1" spans="1:13" s="259" customFormat="1" ht="31.5" customHeight="1" thickBot="1">
      <c r="A1" s="412" t="s">
        <v>1262</v>
      </c>
      <c r="B1" s="412"/>
      <c r="C1" s="412"/>
      <c r="D1" s="412"/>
      <c r="E1" s="412"/>
      <c r="F1" s="412"/>
      <c r="G1" s="412"/>
      <c r="H1" s="412"/>
      <c r="I1" s="412"/>
      <c r="J1" s="412"/>
    </row>
    <row r="2" spans="1:13" s="260" customFormat="1" ht="18.75" thickBot="1">
      <c r="A2" s="410"/>
      <c r="B2" s="411"/>
      <c r="C2" s="411"/>
      <c r="D2" s="411"/>
      <c r="E2" s="411"/>
      <c r="F2" s="411"/>
      <c r="G2" s="411"/>
      <c r="H2" s="411"/>
      <c r="I2" s="411"/>
      <c r="J2" s="411"/>
    </row>
    <row r="3" spans="1:13">
      <c r="A3" s="261" t="s">
        <v>1162</v>
      </c>
      <c r="B3" s="262" t="s">
        <v>1163</v>
      </c>
      <c r="C3" s="262" t="s">
        <v>1164</v>
      </c>
      <c r="D3" s="263" t="s">
        <v>1134</v>
      </c>
      <c r="E3" s="263" t="s">
        <v>1172</v>
      </c>
      <c r="F3" s="263" t="s">
        <v>1135</v>
      </c>
      <c r="G3" s="263" t="s">
        <v>1136</v>
      </c>
      <c r="H3" s="262" t="s">
        <v>1160</v>
      </c>
      <c r="I3" s="262" t="s">
        <v>1165</v>
      </c>
      <c r="M3" s="264" t="s">
        <v>1170</v>
      </c>
    </row>
    <row r="4" spans="1:13" ht="14.25" thickBot="1">
      <c r="A4" s="265"/>
      <c r="B4" s="266"/>
      <c r="C4" s="266"/>
      <c r="D4" s="267"/>
      <c r="E4" s="267"/>
      <c r="F4" s="267" t="s">
        <v>1147</v>
      </c>
      <c r="G4" s="267" t="s">
        <v>1137</v>
      </c>
      <c r="H4" s="266" t="s">
        <v>1138</v>
      </c>
      <c r="I4" s="266" t="s">
        <v>1148</v>
      </c>
      <c r="M4" s="264" t="s">
        <v>1166</v>
      </c>
    </row>
    <row r="5" spans="1:13">
      <c r="A5" s="280" t="s">
        <v>1171</v>
      </c>
      <c r="B5" s="269" t="s">
        <v>1169</v>
      </c>
      <c r="C5" s="270" t="s">
        <v>1143</v>
      </c>
      <c r="D5" s="270">
        <v>10</v>
      </c>
      <c r="E5" s="270" t="s">
        <v>1173</v>
      </c>
      <c r="F5" s="271">
        <v>0</v>
      </c>
      <c r="G5" s="404">
        <v>0</v>
      </c>
      <c r="H5" s="271">
        <v>0</v>
      </c>
      <c r="I5" s="270">
        <v>60</v>
      </c>
      <c r="L5" s="264" t="s">
        <v>1142</v>
      </c>
      <c r="M5" s="264" t="s">
        <v>1167</v>
      </c>
    </row>
    <row r="6" spans="1:13">
      <c r="A6" s="281"/>
      <c r="B6" s="269"/>
      <c r="C6" s="270"/>
      <c r="D6" s="270">
        <v>1</v>
      </c>
      <c r="E6" s="270"/>
      <c r="F6" s="271">
        <v>0</v>
      </c>
      <c r="G6" s="404">
        <v>0</v>
      </c>
      <c r="H6" s="271">
        <v>0</v>
      </c>
      <c r="I6" s="270">
        <v>60</v>
      </c>
      <c r="L6" s="264" t="s">
        <v>1144</v>
      </c>
      <c r="M6" s="264" t="s">
        <v>1113</v>
      </c>
    </row>
    <row r="7" spans="1:13">
      <c r="A7" s="281"/>
      <c r="B7" s="269"/>
      <c r="C7" s="270"/>
      <c r="D7" s="270">
        <v>1</v>
      </c>
      <c r="E7" s="270"/>
      <c r="F7" s="271">
        <v>0</v>
      </c>
      <c r="G7" s="404">
        <v>0</v>
      </c>
      <c r="H7" s="271">
        <v>0</v>
      </c>
      <c r="I7" s="270">
        <v>60</v>
      </c>
      <c r="M7" s="264" t="s">
        <v>1174</v>
      </c>
    </row>
    <row r="8" spans="1:13">
      <c r="A8" s="281"/>
      <c r="B8" s="269"/>
      <c r="C8" s="270"/>
      <c r="D8" s="270">
        <v>1</v>
      </c>
      <c r="E8" s="270"/>
      <c r="F8" s="271">
        <v>0</v>
      </c>
      <c r="G8" s="404">
        <v>0</v>
      </c>
      <c r="H8" s="271">
        <v>0</v>
      </c>
      <c r="I8" s="270">
        <v>60</v>
      </c>
      <c r="M8" s="264" t="s">
        <v>1114</v>
      </c>
    </row>
    <row r="9" spans="1:13">
      <c r="A9" s="282"/>
      <c r="B9" s="269"/>
      <c r="C9" s="270"/>
      <c r="D9" s="270">
        <v>1</v>
      </c>
      <c r="E9" s="270"/>
      <c r="F9" s="271">
        <v>0</v>
      </c>
      <c r="G9" s="404">
        <v>0</v>
      </c>
      <c r="H9" s="271">
        <v>0</v>
      </c>
      <c r="I9" s="270">
        <v>60</v>
      </c>
      <c r="M9" s="264" t="s">
        <v>1119</v>
      </c>
    </row>
    <row r="10" spans="1:13">
      <c r="A10" s="281"/>
      <c r="B10" s="269"/>
      <c r="C10" s="270"/>
      <c r="D10" s="270">
        <v>1</v>
      </c>
      <c r="E10" s="270"/>
      <c r="F10" s="271">
        <v>0</v>
      </c>
      <c r="G10" s="404">
        <v>0</v>
      </c>
      <c r="H10" s="271">
        <v>0</v>
      </c>
      <c r="I10" s="270">
        <v>60</v>
      </c>
      <c r="M10" s="264" t="s">
        <v>1120</v>
      </c>
    </row>
    <row r="11" spans="1:13">
      <c r="A11" s="281"/>
      <c r="B11" s="269"/>
      <c r="C11" s="270"/>
      <c r="D11" s="270">
        <v>1</v>
      </c>
      <c r="E11" s="270"/>
      <c r="F11" s="271">
        <v>0</v>
      </c>
      <c r="G11" s="404">
        <v>0</v>
      </c>
      <c r="H11" s="271">
        <v>0</v>
      </c>
      <c r="I11" s="270">
        <v>60</v>
      </c>
      <c r="M11" s="264" t="s">
        <v>1112</v>
      </c>
    </row>
    <row r="12" spans="1:13">
      <c r="A12" s="281"/>
      <c r="B12" s="269"/>
      <c r="C12" s="270"/>
      <c r="D12" s="270">
        <v>1</v>
      </c>
      <c r="E12" s="270"/>
      <c r="F12" s="271">
        <v>0</v>
      </c>
      <c r="G12" s="404">
        <v>0</v>
      </c>
      <c r="H12" s="271">
        <v>0</v>
      </c>
      <c r="I12" s="270">
        <v>60</v>
      </c>
      <c r="M12" s="264" t="s">
        <v>1168</v>
      </c>
    </row>
    <row r="13" spans="1:13">
      <c r="A13" s="281"/>
      <c r="B13" s="269"/>
      <c r="C13" s="270"/>
      <c r="D13" s="270">
        <v>1</v>
      </c>
      <c r="E13" s="270"/>
      <c r="F13" s="271">
        <v>0</v>
      </c>
      <c r="G13" s="404">
        <v>0</v>
      </c>
      <c r="H13" s="271">
        <v>0</v>
      </c>
      <c r="I13" s="270">
        <v>60</v>
      </c>
      <c r="M13" s="264" t="s">
        <v>1115</v>
      </c>
    </row>
    <row r="14" spans="1:13">
      <c r="A14" s="283"/>
      <c r="B14" s="269"/>
      <c r="C14" s="270"/>
      <c r="D14" s="270">
        <v>1</v>
      </c>
      <c r="E14" s="270"/>
      <c r="F14" s="271">
        <v>0</v>
      </c>
      <c r="G14" s="404">
        <v>0</v>
      </c>
      <c r="H14" s="271">
        <v>0</v>
      </c>
      <c r="I14" s="270">
        <v>60</v>
      </c>
      <c r="M14" s="264" t="s">
        <v>1118</v>
      </c>
    </row>
    <row r="15" spans="1:13">
      <c r="A15" s="283"/>
      <c r="B15" s="269"/>
      <c r="C15" s="270"/>
      <c r="D15" s="270">
        <v>1</v>
      </c>
      <c r="E15" s="270"/>
      <c r="F15" s="271">
        <v>0</v>
      </c>
      <c r="G15" s="404">
        <v>0</v>
      </c>
      <c r="H15" s="271">
        <v>0</v>
      </c>
      <c r="I15" s="270">
        <v>60</v>
      </c>
      <c r="M15" s="264" t="s">
        <v>1175</v>
      </c>
    </row>
    <row r="16" spans="1:13" ht="14.25" thickBot="1">
      <c r="A16" s="283"/>
      <c r="B16" s="269"/>
      <c r="C16" s="270"/>
      <c r="D16" s="270">
        <v>1</v>
      </c>
      <c r="E16" s="270"/>
      <c r="F16" s="271">
        <v>0</v>
      </c>
      <c r="G16" s="404">
        <v>0</v>
      </c>
      <c r="H16" s="271">
        <v>0</v>
      </c>
      <c r="I16" s="270">
        <v>60</v>
      </c>
      <c r="M16" s="264" t="s">
        <v>1176</v>
      </c>
    </row>
    <row r="17" spans="1:13" ht="14.25" thickBot="1">
      <c r="A17" s="265" t="s">
        <v>1161</v>
      </c>
      <c r="B17" s="275"/>
      <c r="C17" s="275"/>
      <c r="D17" s="276">
        <f>SUM(D5:D16)</f>
        <v>21</v>
      </c>
      <c r="E17" s="276"/>
      <c r="F17" s="277">
        <f>SUM(F5:F16)</f>
        <v>0</v>
      </c>
      <c r="G17" s="277">
        <f>SUM(G5:G16)</f>
        <v>0</v>
      </c>
      <c r="H17" s="275"/>
      <c r="I17" s="276"/>
      <c r="M17" s="264" t="s">
        <v>1157</v>
      </c>
    </row>
    <row r="18" spans="1:13" s="260" customFormat="1" ht="12" customHeight="1">
      <c r="A18" s="278"/>
      <c r="B18" s="278"/>
      <c r="C18" s="278"/>
      <c r="D18" s="279"/>
      <c r="E18" s="279"/>
      <c r="F18" s="278"/>
      <c r="G18" s="278"/>
      <c r="H18" s="278"/>
      <c r="I18" s="279"/>
    </row>
  </sheetData>
  <mergeCells count="2">
    <mergeCell ref="A1:J1"/>
    <mergeCell ref="A2:J2"/>
  </mergeCells>
  <phoneticPr fontId="5" type="noConversion"/>
  <dataValidations count="6">
    <dataValidation allowBlank="1" showInputMessage="1" showErrorMessage="1" prompt="Part names and/or numbers" sqref="A5:A8 A10:A13"/>
    <dataValidation type="list" allowBlank="1" showInputMessage="1" showErrorMessage="1" prompt="Is this IBM Software? " sqref="C6:C16">
      <formula1>"Yes,No"</formula1>
    </dataValidation>
    <dataValidation allowBlank="1" showInputMessage="1" showErrorMessage="1" prompt="IBM Software products have 1 year's maintenance included in purchase price.  These products have also had their purchase price included in the calc in Yr1._x000a_" sqref="A14:A16"/>
    <dataValidation type="list" allowBlank="1" showInputMessage="1" showErrorMessage="1" prompt="Select the correct software platform from the drop-down list.  Hint:  You can copy &amp; paste values here - providing they are valid." sqref="B6:B16">
      <formula1>$M$3:$M$16</formula1>
    </dataValidation>
    <dataValidation type="list" allowBlank="1" showInputMessage="1" showErrorMessage="1" prompt="Select the correct software platform from the drop-down list.  Hint:  You can copy &amp; paste values here - providing they are valid." sqref="B5">
      <formula1>$M$3:$M$17</formula1>
    </dataValidation>
    <dataValidation type="list" allowBlank="1" showInputMessage="1" showErrorMessage="1" prompt="Is this IBM Software? " sqref="C5">
      <formula1>$L$5:$L$6</formula1>
    </dataValidation>
  </dataValidation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sheetPr codeName="Sheet4" enableFormatConditionsCalculation="0">
    <tabColor rgb="FF92D050"/>
  </sheetPr>
  <dimension ref="A1:AD78"/>
  <sheetViews>
    <sheetView workbookViewId="0">
      <selection sqref="A1:H1"/>
    </sheetView>
  </sheetViews>
  <sheetFormatPr defaultRowHeight="16.5" outlineLevelRow="1"/>
  <cols>
    <col min="1" max="1" width="49.140625" style="305" customWidth="1"/>
    <col min="2" max="2" width="9.5703125" style="305" customWidth="1"/>
    <col min="3" max="3" width="11.28515625" style="305" customWidth="1"/>
    <col min="4" max="4" width="17.85546875" style="305" customWidth="1"/>
    <col min="5" max="5" width="18.42578125" style="305" customWidth="1"/>
    <col min="6" max="6" width="14.28515625" style="305" customWidth="1"/>
    <col min="7" max="7" width="15.42578125" style="305" hidden="1" customWidth="1"/>
    <col min="8" max="14" width="16.28515625" style="305" hidden="1" customWidth="1"/>
    <col min="15" max="15" width="9.140625" style="305" hidden="1" customWidth="1"/>
    <col min="16" max="26" width="0" style="305" hidden="1" customWidth="1"/>
    <col min="27" max="16384" width="9.140625" style="305"/>
  </cols>
  <sheetData>
    <row r="1" spans="1:30" s="259" customFormat="1" ht="31.5" customHeight="1" thickBot="1">
      <c r="A1" s="412" t="s">
        <v>1261</v>
      </c>
      <c r="B1" s="412"/>
      <c r="C1" s="412"/>
      <c r="D1" s="412"/>
      <c r="E1" s="412"/>
      <c r="F1" s="412"/>
      <c r="G1" s="412"/>
      <c r="H1" s="412"/>
    </row>
    <row r="2" spans="1:30" s="260" customFormat="1" ht="18.75" thickBot="1">
      <c r="A2" s="410"/>
      <c r="B2" s="411"/>
      <c r="C2" s="411"/>
      <c r="D2" s="411"/>
      <c r="E2" s="411"/>
      <c r="F2" s="411"/>
      <c r="G2" s="411"/>
      <c r="H2" s="411"/>
      <c r="AC2" s="260" t="s">
        <v>1179</v>
      </c>
      <c r="AD2" s="260" t="s">
        <v>1177</v>
      </c>
    </row>
    <row r="3" spans="1:30" s="291" customFormat="1" ht="14.25" thickBot="1">
      <c r="A3" s="284" t="s">
        <v>1178</v>
      </c>
      <c r="B3" s="285"/>
      <c r="C3" s="276" t="s">
        <v>1179</v>
      </c>
      <c r="D3" s="276" t="s">
        <v>1180</v>
      </c>
      <c r="E3" s="276" t="s">
        <v>1181</v>
      </c>
      <c r="F3" s="286" t="s">
        <v>1182</v>
      </c>
      <c r="G3" s="287"/>
      <c r="H3" s="288"/>
      <c r="I3" s="275"/>
      <c r="J3" s="275"/>
      <c r="K3" s="275"/>
      <c r="L3" s="275"/>
      <c r="M3" s="275"/>
      <c r="N3" s="289"/>
      <c r="O3" s="290" t="s">
        <v>775</v>
      </c>
      <c r="P3" s="291" t="s">
        <v>213</v>
      </c>
      <c r="Q3" s="291" t="s">
        <v>891</v>
      </c>
      <c r="R3" s="291" t="s">
        <v>998</v>
      </c>
      <c r="S3" s="291" t="s">
        <v>1061</v>
      </c>
      <c r="T3" s="291" t="s">
        <v>426</v>
      </c>
      <c r="U3" s="291" t="s">
        <v>427</v>
      </c>
      <c r="V3" s="291" t="s">
        <v>428</v>
      </c>
      <c r="W3" s="291" t="s">
        <v>429</v>
      </c>
      <c r="X3" s="291" t="s">
        <v>1077</v>
      </c>
      <c r="Y3" s="291" t="s">
        <v>653</v>
      </c>
      <c r="Z3" s="292" t="s">
        <v>1096</v>
      </c>
      <c r="AC3" s="291" t="s">
        <v>1183</v>
      </c>
    </row>
    <row r="4" spans="1:30" s="304" customFormat="1" outlineLevel="1">
      <c r="A4" s="293" t="s">
        <v>1191</v>
      </c>
      <c r="B4" s="294"/>
      <c r="C4" s="295"/>
      <c r="D4" s="296"/>
      <c r="E4" s="297"/>
      <c r="F4" s="298"/>
      <c r="G4" s="299"/>
      <c r="H4" s="300"/>
      <c r="I4" s="301"/>
      <c r="J4" s="301"/>
      <c r="K4" s="301"/>
      <c r="L4" s="302"/>
      <c r="M4" s="302"/>
      <c r="N4" s="302"/>
      <c r="O4" s="303"/>
      <c r="Y4" s="305"/>
      <c r="Z4" s="306"/>
      <c r="AC4" s="291" t="s">
        <v>1184</v>
      </c>
    </row>
    <row r="5" spans="1:30" s="304" customFormat="1" ht="15.75" outlineLevel="1">
      <c r="A5" s="307" t="s">
        <v>1192</v>
      </c>
      <c r="B5" s="308"/>
      <c r="C5" s="309" t="s">
        <v>1121</v>
      </c>
      <c r="D5" s="310">
        <v>80</v>
      </c>
      <c r="E5" s="311">
        <v>250</v>
      </c>
      <c r="F5" s="312">
        <f t="shared" ref="F5:F7" si="0">D5*E5</f>
        <v>20000</v>
      </c>
      <c r="G5" s="313"/>
      <c r="H5" s="314"/>
      <c r="I5" s="315"/>
      <c r="J5" s="315"/>
      <c r="K5" s="315"/>
      <c r="L5" s="302"/>
      <c r="M5" s="302"/>
      <c r="N5" s="302"/>
      <c r="O5" s="316" t="s">
        <v>22</v>
      </c>
      <c r="P5" s="317" t="e">
        <f>#REF!*#REF!</f>
        <v>#REF!</v>
      </c>
      <c r="Y5" s="318" t="e">
        <f>#REF!</f>
        <v>#REF!</v>
      </c>
      <c r="Z5" s="306" t="str">
        <f t="shared" ref="Z5" si="1">C5</f>
        <v>Level 8</v>
      </c>
      <c r="AC5" s="291" t="s">
        <v>1185</v>
      </c>
    </row>
    <row r="6" spans="1:30" s="304" customFormat="1" ht="15.75" outlineLevel="1">
      <c r="A6" s="307" t="s">
        <v>1193</v>
      </c>
      <c r="B6" s="308"/>
      <c r="C6" s="309" t="s">
        <v>1122</v>
      </c>
      <c r="D6" s="310">
        <v>100</v>
      </c>
      <c r="E6" s="311">
        <v>200</v>
      </c>
      <c r="F6" s="312">
        <f>D6*E6</f>
        <v>20000</v>
      </c>
      <c r="G6" s="313"/>
      <c r="H6" s="314"/>
      <c r="I6" s="315"/>
      <c r="J6" s="315"/>
      <c r="K6" s="315"/>
      <c r="L6" s="302"/>
      <c r="M6" s="302"/>
      <c r="N6" s="302"/>
      <c r="O6" s="316" t="s">
        <v>22</v>
      </c>
      <c r="P6" s="317" t="e">
        <f>#REF!*#REF!</f>
        <v>#REF!</v>
      </c>
      <c r="Y6" s="318" t="e">
        <f>#REF!</f>
        <v>#REF!</v>
      </c>
      <c r="Z6" s="306" t="str">
        <f>C6</f>
        <v>Level 7</v>
      </c>
      <c r="AC6" s="291" t="s">
        <v>1186</v>
      </c>
    </row>
    <row r="7" spans="1:30" s="304" customFormat="1" ht="15.75" outlineLevel="1">
      <c r="A7" s="307" t="s">
        <v>1194</v>
      </c>
      <c r="B7" s="308"/>
      <c r="C7" s="309" t="s">
        <v>1122</v>
      </c>
      <c r="D7" s="310">
        <v>60</v>
      </c>
      <c r="E7" s="311">
        <v>200</v>
      </c>
      <c r="F7" s="312">
        <f t="shared" si="0"/>
        <v>12000</v>
      </c>
      <c r="G7" s="313"/>
      <c r="H7" s="314"/>
      <c r="I7" s="315"/>
      <c r="J7" s="315"/>
      <c r="K7" s="315"/>
      <c r="L7" s="302"/>
      <c r="M7" s="302"/>
      <c r="N7" s="302"/>
      <c r="O7" s="316" t="s">
        <v>22</v>
      </c>
      <c r="P7" s="317" t="e">
        <f>#REF!*#REF!</f>
        <v>#REF!</v>
      </c>
      <c r="Y7" s="318" t="e">
        <f>#REF!</f>
        <v>#REF!</v>
      </c>
      <c r="Z7" s="306" t="str">
        <f>C7</f>
        <v>Level 7</v>
      </c>
      <c r="AC7" s="291" t="s">
        <v>1187</v>
      </c>
      <c r="AD7" s="304">
        <v>125</v>
      </c>
    </row>
    <row r="8" spans="1:30" s="304" customFormat="1" ht="15.75" outlineLevel="1">
      <c r="A8" s="307" t="s">
        <v>1195</v>
      </c>
      <c r="B8" s="308"/>
      <c r="C8" s="309" t="s">
        <v>1122</v>
      </c>
      <c r="D8" s="310">
        <v>80</v>
      </c>
      <c r="E8" s="311">
        <v>200</v>
      </c>
      <c r="F8" s="312">
        <f>D8*E8</f>
        <v>16000</v>
      </c>
      <c r="G8" s="313"/>
      <c r="H8" s="314"/>
      <c r="I8" s="315"/>
      <c r="J8" s="315"/>
      <c r="K8" s="315"/>
      <c r="L8" s="302"/>
      <c r="M8" s="302"/>
      <c r="N8" s="302"/>
      <c r="O8" s="316" t="s">
        <v>22</v>
      </c>
      <c r="P8" s="317" t="e">
        <f>#REF!*#REF!</f>
        <v>#REF!</v>
      </c>
      <c r="Y8" s="318" t="e">
        <f>#REF!</f>
        <v>#REF!</v>
      </c>
      <c r="Z8" s="306" t="str">
        <f>C8</f>
        <v>Level 7</v>
      </c>
      <c r="AC8" s="291" t="s">
        <v>1188</v>
      </c>
      <c r="AD8" s="304">
        <v>150</v>
      </c>
    </row>
    <row r="9" spans="1:30" s="304" customFormat="1" ht="15.75" outlineLevel="1">
      <c r="A9" s="319" t="s">
        <v>1196</v>
      </c>
      <c r="B9" s="308"/>
      <c r="C9" s="309" t="s">
        <v>1122</v>
      </c>
      <c r="D9" s="310">
        <v>50</v>
      </c>
      <c r="E9" s="311">
        <v>200</v>
      </c>
      <c r="F9" s="312">
        <f>D9*E9</f>
        <v>10000</v>
      </c>
      <c r="G9" s="313"/>
      <c r="H9" s="314"/>
      <c r="I9" s="315"/>
      <c r="J9" s="315"/>
      <c r="K9" s="315"/>
      <c r="L9" s="302"/>
      <c r="M9" s="302"/>
      <c r="N9" s="302"/>
      <c r="O9" s="316" t="s">
        <v>22</v>
      </c>
      <c r="P9" s="317" t="e">
        <f>#REF!*#REF!</f>
        <v>#REF!</v>
      </c>
      <c r="Y9" s="318" t="e">
        <f>#REF!</f>
        <v>#REF!</v>
      </c>
      <c r="Z9" s="306" t="str">
        <f>C9</f>
        <v>Level 7</v>
      </c>
      <c r="AC9" s="291" t="s">
        <v>1189</v>
      </c>
      <c r="AD9" s="304">
        <v>200</v>
      </c>
    </row>
    <row r="10" spans="1:30" s="304" customFormat="1">
      <c r="A10" s="324" t="s">
        <v>1190</v>
      </c>
      <c r="B10" s="325"/>
      <c r="C10" s="326"/>
      <c r="D10" s="327">
        <f>SUM(D4:D9)</f>
        <v>370</v>
      </c>
      <c r="E10" s="328"/>
      <c r="F10" s="329"/>
      <c r="G10" s="330"/>
      <c r="H10" s="331"/>
      <c r="I10" s="332"/>
      <c r="J10" s="332"/>
      <c r="K10" s="332"/>
      <c r="L10" s="325"/>
      <c r="M10" s="325"/>
      <c r="N10" s="325"/>
      <c r="O10" s="303"/>
      <c r="Y10" s="305"/>
      <c r="Z10" s="306"/>
      <c r="AC10" s="291" t="s">
        <v>1207</v>
      </c>
      <c r="AD10" s="304">
        <v>250</v>
      </c>
    </row>
    <row r="11" spans="1:30" s="323" customFormat="1" outlineLevel="1">
      <c r="A11" s="333" t="s">
        <v>1197</v>
      </c>
      <c r="B11" s="334"/>
      <c r="C11" s="335"/>
      <c r="D11" s="336"/>
      <c r="E11" s="335"/>
      <c r="F11" s="312"/>
      <c r="G11" s="337"/>
      <c r="H11" s="338"/>
      <c r="I11" s="322"/>
      <c r="J11" s="322"/>
      <c r="K11" s="322"/>
      <c r="L11" s="322"/>
      <c r="M11" s="322"/>
      <c r="N11" s="322"/>
      <c r="O11" s="303"/>
      <c r="Y11" s="305"/>
      <c r="Z11" s="306"/>
    </row>
    <row r="12" spans="1:30" s="323" customFormat="1" ht="13.5" outlineLevel="1">
      <c r="A12" s="319" t="s">
        <v>1199</v>
      </c>
      <c r="B12" s="320"/>
      <c r="C12" s="309" t="s">
        <v>1122</v>
      </c>
      <c r="D12" s="321">
        <v>20</v>
      </c>
      <c r="E12" s="311">
        <v>200</v>
      </c>
      <c r="F12" s="312">
        <f t="shared" ref="F12:F19" si="2">D12*E12</f>
        <v>4000</v>
      </c>
      <c r="G12" s="313"/>
      <c r="H12" s="314"/>
      <c r="I12" s="315"/>
      <c r="J12" s="315"/>
      <c r="K12" s="315"/>
      <c r="L12" s="322"/>
      <c r="M12" s="322"/>
      <c r="N12" s="322"/>
      <c r="O12" s="316" t="s">
        <v>22</v>
      </c>
      <c r="P12" s="317" t="e">
        <f>#REF!*#REF!</f>
        <v>#REF!</v>
      </c>
      <c r="Y12" s="318" t="e">
        <f>#REF!</f>
        <v>#REF!</v>
      </c>
      <c r="Z12" s="306" t="str">
        <f t="shared" ref="Z12:Z19" si="3">C12</f>
        <v>Level 7</v>
      </c>
    </row>
    <row r="13" spans="1:30" s="323" customFormat="1" ht="13.5" outlineLevel="1">
      <c r="A13" s="319" t="s">
        <v>1200</v>
      </c>
      <c r="B13" s="320"/>
      <c r="C13" s="309" t="s">
        <v>1122</v>
      </c>
      <c r="D13" s="321">
        <v>30</v>
      </c>
      <c r="E13" s="311">
        <v>200</v>
      </c>
      <c r="F13" s="312">
        <f t="shared" si="2"/>
        <v>6000</v>
      </c>
      <c r="G13" s="313"/>
      <c r="H13" s="314"/>
      <c r="I13" s="315"/>
      <c r="J13" s="315"/>
      <c r="K13" s="315"/>
      <c r="L13" s="322"/>
      <c r="M13" s="322"/>
      <c r="N13" s="322"/>
      <c r="O13" s="316" t="s">
        <v>22</v>
      </c>
      <c r="P13" s="317" t="e">
        <f>#REF!*#REF!</f>
        <v>#REF!</v>
      </c>
      <c r="Y13" s="318" t="e">
        <f>#REF!</f>
        <v>#REF!</v>
      </c>
      <c r="Z13" s="306" t="str">
        <f t="shared" si="3"/>
        <v>Level 7</v>
      </c>
    </row>
    <row r="14" spans="1:30" s="323" customFormat="1" ht="13.5" outlineLevel="1">
      <c r="A14" s="319" t="s">
        <v>1201</v>
      </c>
      <c r="B14" s="320"/>
      <c r="C14" s="309" t="s">
        <v>1122</v>
      </c>
      <c r="D14" s="321">
        <v>100</v>
      </c>
      <c r="E14" s="311">
        <v>200</v>
      </c>
      <c r="F14" s="312">
        <f t="shared" si="2"/>
        <v>20000</v>
      </c>
      <c r="G14" s="313"/>
      <c r="H14" s="314"/>
      <c r="I14" s="315"/>
      <c r="J14" s="315"/>
      <c r="K14" s="315"/>
      <c r="L14" s="322"/>
      <c r="M14" s="322"/>
      <c r="N14" s="322"/>
      <c r="O14" s="316" t="s">
        <v>22</v>
      </c>
      <c r="P14" s="317" t="e">
        <f>#REF!*#REF!</f>
        <v>#REF!</v>
      </c>
      <c r="Y14" s="318" t="e">
        <f>#REF!</f>
        <v>#REF!</v>
      </c>
      <c r="Z14" s="306" t="str">
        <f t="shared" si="3"/>
        <v>Level 7</v>
      </c>
    </row>
    <row r="15" spans="1:30" s="323" customFormat="1" ht="13.5" outlineLevel="1">
      <c r="A15" s="319" t="s">
        <v>1202</v>
      </c>
      <c r="B15" s="320"/>
      <c r="C15" s="309" t="s">
        <v>1122</v>
      </c>
      <c r="D15" s="321">
        <v>60</v>
      </c>
      <c r="E15" s="311">
        <v>200</v>
      </c>
      <c r="F15" s="312">
        <f t="shared" si="2"/>
        <v>12000</v>
      </c>
      <c r="G15" s="313"/>
      <c r="H15" s="314"/>
      <c r="I15" s="315"/>
      <c r="J15" s="315"/>
      <c r="K15" s="315"/>
      <c r="L15" s="322"/>
      <c r="M15" s="322"/>
      <c r="N15" s="322"/>
      <c r="O15" s="316" t="s">
        <v>22</v>
      </c>
      <c r="P15" s="317" t="e">
        <f>#REF!*#REF!</f>
        <v>#REF!</v>
      </c>
      <c r="Y15" s="318" t="e">
        <f>#REF!</f>
        <v>#REF!</v>
      </c>
      <c r="Z15" s="306" t="str">
        <f t="shared" si="3"/>
        <v>Level 7</v>
      </c>
    </row>
    <row r="16" spans="1:30" s="323" customFormat="1" ht="13.5" outlineLevel="1">
      <c r="A16" s="319" t="s">
        <v>1203</v>
      </c>
      <c r="B16" s="320"/>
      <c r="C16" s="309" t="s">
        <v>1122</v>
      </c>
      <c r="D16" s="321">
        <v>10</v>
      </c>
      <c r="E16" s="311">
        <v>200</v>
      </c>
      <c r="F16" s="312">
        <f t="shared" si="2"/>
        <v>2000</v>
      </c>
      <c r="G16" s="313"/>
      <c r="H16" s="314"/>
      <c r="I16" s="315"/>
      <c r="J16" s="315"/>
      <c r="K16" s="315"/>
      <c r="L16" s="322"/>
      <c r="M16" s="322"/>
      <c r="N16" s="322"/>
      <c r="O16" s="316" t="s">
        <v>22</v>
      </c>
      <c r="P16" s="317" t="e">
        <f>#REF!*#REF!</f>
        <v>#REF!</v>
      </c>
      <c r="Y16" s="318" t="e">
        <f>#REF!</f>
        <v>#REF!</v>
      </c>
      <c r="Z16" s="306" t="str">
        <f t="shared" si="3"/>
        <v>Level 7</v>
      </c>
    </row>
    <row r="17" spans="1:26" s="323" customFormat="1" ht="13.5" outlineLevel="1">
      <c r="A17" s="319" t="s">
        <v>1204</v>
      </c>
      <c r="B17" s="320"/>
      <c r="C17" s="309" t="s">
        <v>1122</v>
      </c>
      <c r="D17" s="321">
        <v>20</v>
      </c>
      <c r="E17" s="311">
        <v>200</v>
      </c>
      <c r="F17" s="312">
        <f t="shared" si="2"/>
        <v>4000</v>
      </c>
      <c r="G17" s="313"/>
      <c r="H17" s="314"/>
      <c r="I17" s="315"/>
      <c r="J17" s="315"/>
      <c r="K17" s="315"/>
      <c r="L17" s="322"/>
      <c r="M17" s="322"/>
      <c r="N17" s="322"/>
      <c r="O17" s="316" t="s">
        <v>22</v>
      </c>
      <c r="P17" s="317" t="e">
        <f>#REF!*#REF!</f>
        <v>#REF!</v>
      </c>
      <c r="Y17" s="318" t="e">
        <f>#REF!</f>
        <v>#REF!</v>
      </c>
      <c r="Z17" s="306" t="str">
        <f t="shared" si="3"/>
        <v>Level 7</v>
      </c>
    </row>
    <row r="18" spans="1:26" s="323" customFormat="1" ht="13.5" outlineLevel="1">
      <c r="A18" s="319" t="s">
        <v>1205</v>
      </c>
      <c r="B18" s="320"/>
      <c r="C18" s="309" t="s">
        <v>1122</v>
      </c>
      <c r="D18" s="321">
        <v>50</v>
      </c>
      <c r="E18" s="311">
        <v>200</v>
      </c>
      <c r="F18" s="312">
        <f t="shared" si="2"/>
        <v>10000</v>
      </c>
      <c r="G18" s="313"/>
      <c r="H18" s="314"/>
      <c r="I18" s="315"/>
      <c r="J18" s="315"/>
      <c r="K18" s="315"/>
      <c r="L18" s="322"/>
      <c r="M18" s="322"/>
      <c r="N18" s="322"/>
      <c r="O18" s="316" t="s">
        <v>22</v>
      </c>
      <c r="P18" s="317" t="e">
        <f>#REF!*#REF!</f>
        <v>#REF!</v>
      </c>
      <c r="Y18" s="318" t="e">
        <f>#REF!</f>
        <v>#REF!</v>
      </c>
      <c r="Z18" s="306" t="str">
        <f t="shared" si="3"/>
        <v>Level 7</v>
      </c>
    </row>
    <row r="19" spans="1:26" s="323" customFormat="1" ht="13.5" outlineLevel="1">
      <c r="A19" s="319" t="s">
        <v>1206</v>
      </c>
      <c r="B19" s="320"/>
      <c r="C19" s="309" t="s">
        <v>1122</v>
      </c>
      <c r="D19" s="321">
        <v>20</v>
      </c>
      <c r="E19" s="311">
        <v>200</v>
      </c>
      <c r="F19" s="312">
        <f t="shared" si="2"/>
        <v>4000</v>
      </c>
      <c r="G19" s="313"/>
      <c r="H19" s="314"/>
      <c r="I19" s="315"/>
      <c r="J19" s="315"/>
      <c r="K19" s="315"/>
      <c r="L19" s="322"/>
      <c r="M19" s="322"/>
      <c r="N19" s="322"/>
      <c r="O19" s="316" t="s">
        <v>22</v>
      </c>
      <c r="P19" s="317" t="e">
        <f>#REF!*#REF!</f>
        <v>#REF!</v>
      </c>
      <c r="Y19" s="318" t="e">
        <f>#REF!</f>
        <v>#REF!</v>
      </c>
      <c r="Z19" s="306" t="str">
        <f t="shared" si="3"/>
        <v>Level 7</v>
      </c>
    </row>
    <row r="20" spans="1:26" s="304" customFormat="1">
      <c r="A20" s="324" t="s">
        <v>1198</v>
      </c>
      <c r="B20" s="325"/>
      <c r="C20" s="326"/>
      <c r="D20" s="327">
        <f>SUM(D11:D19)</f>
        <v>310</v>
      </c>
      <c r="E20" s="328"/>
      <c r="F20" s="329"/>
      <c r="G20" s="330"/>
      <c r="H20" s="331"/>
      <c r="I20" s="332"/>
      <c r="J20" s="332"/>
      <c r="K20" s="332"/>
      <c r="L20" s="325"/>
      <c r="M20" s="325"/>
      <c r="N20" s="325"/>
      <c r="O20" s="303"/>
      <c r="Y20" s="305"/>
      <c r="Z20" s="306"/>
    </row>
    <row r="21" spans="1:26" s="323" customFormat="1" ht="12" customHeight="1" outlineLevel="1">
      <c r="A21" s="333" t="s">
        <v>1208</v>
      </c>
      <c r="B21" s="334"/>
      <c r="C21" s="335"/>
      <c r="D21" s="336"/>
      <c r="E21" s="335"/>
      <c r="F21" s="312"/>
      <c r="G21" s="337"/>
      <c r="H21" s="338"/>
      <c r="I21" s="322"/>
      <c r="J21" s="322"/>
      <c r="K21" s="322"/>
      <c r="L21" s="322"/>
      <c r="M21" s="322"/>
      <c r="N21" s="322"/>
      <c r="O21" s="303"/>
      <c r="Y21" s="305"/>
      <c r="Z21" s="306"/>
    </row>
    <row r="22" spans="1:26" s="323" customFormat="1" ht="13.5" outlineLevel="1">
      <c r="A22" s="319" t="s">
        <v>1210</v>
      </c>
      <c r="B22" s="320"/>
      <c r="C22" s="309" t="s">
        <v>1123</v>
      </c>
      <c r="D22" s="321">
        <v>20</v>
      </c>
      <c r="E22" s="311">
        <v>150</v>
      </c>
      <c r="F22" s="312">
        <f t="shared" ref="F22:F53" si="4">D22*E22</f>
        <v>3000</v>
      </c>
      <c r="G22" s="337"/>
      <c r="H22" s="314"/>
      <c r="I22" s="315"/>
      <c r="J22" s="315"/>
      <c r="K22" s="315"/>
      <c r="L22" s="322"/>
      <c r="M22" s="322"/>
      <c r="N22" s="322"/>
      <c r="O22" s="316" t="s">
        <v>22</v>
      </c>
      <c r="P22" s="317" t="e">
        <f>#REF!*#REF!</f>
        <v>#REF!</v>
      </c>
      <c r="Y22" s="318" t="e">
        <f>#REF!</f>
        <v>#REF!</v>
      </c>
      <c r="Z22" s="306" t="str">
        <f>C22</f>
        <v>Level 6</v>
      </c>
    </row>
    <row r="23" spans="1:26" s="323" customFormat="1" ht="13.5" outlineLevel="1">
      <c r="A23" s="319" t="s">
        <v>1211</v>
      </c>
      <c r="B23" s="320"/>
      <c r="C23" s="309" t="s">
        <v>1123</v>
      </c>
      <c r="D23" s="321">
        <v>10</v>
      </c>
      <c r="E23" s="311">
        <v>150</v>
      </c>
      <c r="F23" s="312">
        <f t="shared" si="4"/>
        <v>1500</v>
      </c>
      <c r="G23" s="337"/>
      <c r="H23" s="314"/>
      <c r="I23" s="315"/>
      <c r="J23" s="315"/>
      <c r="K23" s="315"/>
      <c r="L23" s="322"/>
      <c r="M23" s="322"/>
      <c r="N23" s="322"/>
      <c r="O23" s="316" t="s">
        <v>22</v>
      </c>
      <c r="P23" s="317" t="e">
        <f>#REF!*#REF!</f>
        <v>#REF!</v>
      </c>
      <c r="Y23" s="318" t="e">
        <f>#REF!</f>
        <v>#REF!</v>
      </c>
      <c r="Z23" s="306" t="str">
        <f>C23</f>
        <v>Level 6</v>
      </c>
    </row>
    <row r="24" spans="1:26" s="323" customFormat="1" ht="13.5" outlineLevel="1">
      <c r="A24" s="319" t="s">
        <v>1212</v>
      </c>
      <c r="B24" s="320"/>
      <c r="C24" s="309" t="s">
        <v>1123</v>
      </c>
      <c r="D24" s="321">
        <v>100</v>
      </c>
      <c r="E24" s="311">
        <v>150</v>
      </c>
      <c r="F24" s="312">
        <f t="shared" si="4"/>
        <v>15000</v>
      </c>
      <c r="G24" s="337"/>
      <c r="H24" s="314"/>
      <c r="I24" s="315"/>
      <c r="J24" s="315"/>
      <c r="K24" s="315"/>
      <c r="L24" s="322"/>
      <c r="M24" s="322"/>
      <c r="N24" s="322"/>
      <c r="O24" s="316"/>
      <c r="P24" s="317"/>
      <c r="Y24" s="318"/>
      <c r="Z24" s="306"/>
    </row>
    <row r="25" spans="1:26" s="323" customFormat="1" ht="13.5" outlineLevel="1">
      <c r="A25" s="319" t="s">
        <v>1213</v>
      </c>
      <c r="B25" s="320"/>
      <c r="C25" s="309" t="s">
        <v>1123</v>
      </c>
      <c r="D25" s="321">
        <v>100</v>
      </c>
      <c r="E25" s="311">
        <v>150</v>
      </c>
      <c r="F25" s="312">
        <f t="shared" si="4"/>
        <v>15000</v>
      </c>
      <c r="G25" s="337"/>
      <c r="H25" s="314"/>
      <c r="I25" s="315"/>
      <c r="J25" s="315"/>
      <c r="K25" s="315"/>
      <c r="L25" s="322"/>
      <c r="M25" s="322"/>
      <c r="N25" s="322"/>
      <c r="O25" s="316"/>
      <c r="P25" s="317"/>
      <c r="Y25" s="318"/>
      <c r="Z25" s="306"/>
    </row>
    <row r="26" spans="1:26" s="323" customFormat="1" ht="13.5" outlineLevel="1">
      <c r="A26" s="319" t="s">
        <v>1214</v>
      </c>
      <c r="B26" s="320"/>
      <c r="C26" s="309" t="s">
        <v>1123</v>
      </c>
      <c r="D26" s="321">
        <v>600</v>
      </c>
      <c r="E26" s="311">
        <v>150</v>
      </c>
      <c r="F26" s="312">
        <f t="shared" si="4"/>
        <v>90000</v>
      </c>
      <c r="G26" s="337"/>
      <c r="H26" s="314"/>
      <c r="I26" s="315"/>
      <c r="J26" s="315"/>
      <c r="K26" s="315"/>
      <c r="L26" s="322"/>
      <c r="M26" s="322"/>
      <c r="N26" s="322"/>
      <c r="O26" s="316"/>
      <c r="P26" s="317"/>
      <c r="Y26" s="318"/>
      <c r="Z26" s="306"/>
    </row>
    <row r="27" spans="1:26" s="323" customFormat="1" ht="13.5" outlineLevel="1">
      <c r="A27" s="319" t="s">
        <v>1217</v>
      </c>
      <c r="B27" s="320"/>
      <c r="C27" s="309" t="s">
        <v>1123</v>
      </c>
      <c r="D27" s="321">
        <v>50</v>
      </c>
      <c r="E27" s="311">
        <v>150</v>
      </c>
      <c r="F27" s="312">
        <f t="shared" si="4"/>
        <v>7500</v>
      </c>
      <c r="G27" s="337"/>
      <c r="H27" s="314"/>
      <c r="I27" s="315"/>
      <c r="J27" s="315"/>
      <c r="K27" s="315"/>
      <c r="L27" s="322"/>
      <c r="M27" s="322"/>
      <c r="N27" s="322"/>
      <c r="O27" s="316"/>
      <c r="P27" s="317"/>
      <c r="Y27" s="318"/>
      <c r="Z27" s="306"/>
    </row>
    <row r="28" spans="1:26" s="323" customFormat="1" ht="13.5" outlineLevel="1">
      <c r="A28" s="319" t="s">
        <v>1215</v>
      </c>
      <c r="B28" s="320"/>
      <c r="C28" s="309" t="s">
        <v>1123</v>
      </c>
      <c r="D28" s="321">
        <v>800</v>
      </c>
      <c r="E28" s="311">
        <v>150</v>
      </c>
      <c r="F28" s="312">
        <f t="shared" si="4"/>
        <v>120000</v>
      </c>
      <c r="G28" s="337"/>
      <c r="H28" s="314"/>
      <c r="I28" s="315"/>
      <c r="J28" s="315"/>
      <c r="K28" s="315"/>
      <c r="L28" s="322"/>
      <c r="M28" s="322"/>
      <c r="N28" s="322"/>
      <c r="O28" s="316"/>
      <c r="P28" s="317"/>
      <c r="Y28" s="318"/>
      <c r="Z28" s="306"/>
    </row>
    <row r="29" spans="1:26" s="323" customFormat="1" ht="13.5" outlineLevel="1">
      <c r="A29" s="319" t="s">
        <v>1216</v>
      </c>
      <c r="B29" s="320"/>
      <c r="C29" s="309" t="s">
        <v>1123</v>
      </c>
      <c r="D29" s="321">
        <v>800</v>
      </c>
      <c r="E29" s="311">
        <v>150</v>
      </c>
      <c r="F29" s="312">
        <f t="shared" si="4"/>
        <v>120000</v>
      </c>
      <c r="G29" s="337"/>
      <c r="H29" s="314"/>
      <c r="I29" s="315"/>
      <c r="J29" s="315"/>
      <c r="K29" s="315"/>
      <c r="L29" s="322"/>
      <c r="M29" s="322"/>
      <c r="N29" s="322"/>
      <c r="O29" s="316"/>
      <c r="P29" s="317"/>
      <c r="Y29" s="318"/>
      <c r="Z29" s="306"/>
    </row>
    <row r="30" spans="1:26" s="323" customFormat="1" ht="13.5" outlineLevel="1">
      <c r="A30" s="319" t="s">
        <v>1218</v>
      </c>
      <c r="B30" s="320"/>
      <c r="C30" s="309" t="s">
        <v>1123</v>
      </c>
      <c r="D30" s="321">
        <v>200</v>
      </c>
      <c r="E30" s="311">
        <v>150</v>
      </c>
      <c r="F30" s="312">
        <f t="shared" si="4"/>
        <v>30000</v>
      </c>
      <c r="G30" s="337"/>
      <c r="H30" s="314"/>
      <c r="I30" s="315"/>
      <c r="J30" s="315"/>
      <c r="K30" s="315"/>
      <c r="L30" s="322"/>
      <c r="M30" s="322"/>
      <c r="N30" s="322"/>
      <c r="O30" s="316"/>
      <c r="P30" s="317"/>
      <c r="Y30" s="318"/>
      <c r="Z30" s="306"/>
    </row>
    <row r="31" spans="1:26" s="323" customFormat="1" ht="13.5" outlineLevel="1">
      <c r="A31" s="319" t="s">
        <v>1219</v>
      </c>
      <c r="B31" s="320"/>
      <c r="C31" s="309" t="s">
        <v>1123</v>
      </c>
      <c r="D31" s="321">
        <v>200</v>
      </c>
      <c r="E31" s="311">
        <v>150</v>
      </c>
      <c r="F31" s="312">
        <f t="shared" si="4"/>
        <v>30000</v>
      </c>
      <c r="G31" s="337"/>
      <c r="H31" s="314"/>
      <c r="I31" s="315"/>
      <c r="J31" s="315"/>
      <c r="K31" s="315"/>
      <c r="L31" s="322"/>
      <c r="M31" s="322"/>
      <c r="N31" s="322"/>
      <c r="O31" s="316"/>
      <c r="P31" s="317"/>
      <c r="Y31" s="318"/>
      <c r="Z31" s="306"/>
    </row>
    <row r="32" spans="1:26" s="323" customFormat="1" ht="13.5" outlineLevel="1">
      <c r="A32" s="319" t="s">
        <v>1220</v>
      </c>
      <c r="B32" s="320"/>
      <c r="C32" s="309" t="s">
        <v>1123</v>
      </c>
      <c r="D32" s="321">
        <v>200</v>
      </c>
      <c r="E32" s="311">
        <v>150</v>
      </c>
      <c r="F32" s="312">
        <f t="shared" si="4"/>
        <v>30000</v>
      </c>
      <c r="G32" s="337"/>
      <c r="H32" s="314"/>
      <c r="I32" s="315"/>
      <c r="J32" s="315"/>
      <c r="K32" s="315"/>
      <c r="L32" s="322"/>
      <c r="M32" s="322"/>
      <c r="N32" s="322"/>
      <c r="O32" s="316"/>
      <c r="P32" s="317"/>
      <c r="Y32" s="318"/>
      <c r="Z32" s="306"/>
    </row>
    <row r="33" spans="1:26" s="323" customFormat="1" ht="13.5" outlineLevel="1">
      <c r="A33" s="319" t="s">
        <v>1221</v>
      </c>
      <c r="B33" s="320"/>
      <c r="C33" s="309" t="s">
        <v>1123</v>
      </c>
      <c r="D33" s="321">
        <v>80</v>
      </c>
      <c r="E33" s="311">
        <v>150</v>
      </c>
      <c r="F33" s="312">
        <f t="shared" si="4"/>
        <v>12000</v>
      </c>
      <c r="G33" s="337"/>
      <c r="H33" s="314"/>
      <c r="I33" s="315"/>
      <c r="J33" s="315"/>
      <c r="K33" s="315"/>
      <c r="L33" s="322"/>
      <c r="M33" s="322"/>
      <c r="N33" s="322"/>
      <c r="O33" s="316"/>
      <c r="P33" s="317"/>
      <c r="Y33" s="318"/>
      <c r="Z33" s="306"/>
    </row>
    <row r="34" spans="1:26" s="323" customFormat="1" ht="13.5" outlineLevel="1">
      <c r="A34" s="319" t="s">
        <v>1222</v>
      </c>
      <c r="B34" s="320"/>
      <c r="C34" s="309" t="s">
        <v>1123</v>
      </c>
      <c r="D34" s="321">
        <v>100</v>
      </c>
      <c r="E34" s="311">
        <v>150</v>
      </c>
      <c r="F34" s="312">
        <f t="shared" si="4"/>
        <v>15000</v>
      </c>
      <c r="G34" s="337"/>
      <c r="H34" s="314"/>
      <c r="I34" s="315"/>
      <c r="J34" s="315"/>
      <c r="K34" s="315"/>
      <c r="L34" s="322"/>
      <c r="M34" s="322"/>
      <c r="N34" s="322"/>
      <c r="O34" s="316"/>
      <c r="P34" s="317"/>
      <c r="Y34" s="318"/>
      <c r="Z34" s="306"/>
    </row>
    <row r="35" spans="1:26" s="323" customFormat="1" ht="13.5" outlineLevel="1">
      <c r="A35" s="319" t="s">
        <v>1223</v>
      </c>
      <c r="B35" s="320"/>
      <c r="C35" s="309" t="s">
        <v>1123</v>
      </c>
      <c r="D35" s="321">
        <v>20</v>
      </c>
      <c r="E35" s="311">
        <v>150</v>
      </c>
      <c r="F35" s="312">
        <f t="shared" si="4"/>
        <v>3000</v>
      </c>
      <c r="G35" s="337"/>
      <c r="H35" s="314"/>
      <c r="I35" s="315"/>
      <c r="J35" s="315"/>
      <c r="K35" s="315"/>
      <c r="L35" s="322"/>
      <c r="M35" s="322"/>
      <c r="N35" s="322"/>
      <c r="O35" s="316"/>
      <c r="P35" s="317"/>
      <c r="Y35" s="318"/>
      <c r="Z35" s="306"/>
    </row>
    <row r="36" spans="1:26" s="323" customFormat="1" ht="13.5" outlineLevel="1">
      <c r="A36" s="319" t="s">
        <v>1224</v>
      </c>
      <c r="B36" s="320"/>
      <c r="C36" s="309" t="s">
        <v>1123</v>
      </c>
      <c r="D36" s="321">
        <v>10</v>
      </c>
      <c r="E36" s="311">
        <v>150</v>
      </c>
      <c r="F36" s="312">
        <f t="shared" si="4"/>
        <v>1500</v>
      </c>
      <c r="G36" s="337"/>
      <c r="H36" s="314"/>
      <c r="I36" s="315"/>
      <c r="J36" s="315"/>
      <c r="K36" s="315"/>
      <c r="L36" s="322"/>
      <c r="M36" s="322"/>
      <c r="N36" s="322"/>
      <c r="O36" s="316"/>
      <c r="P36" s="317"/>
      <c r="Y36" s="318"/>
      <c r="Z36" s="306"/>
    </row>
    <row r="37" spans="1:26" s="323" customFormat="1" ht="13.5" outlineLevel="1">
      <c r="A37" s="319" t="s">
        <v>1225</v>
      </c>
      <c r="B37" s="320"/>
      <c r="C37" s="309" t="s">
        <v>1123</v>
      </c>
      <c r="D37" s="321">
        <v>10</v>
      </c>
      <c r="E37" s="311">
        <v>150</v>
      </c>
      <c r="F37" s="312">
        <f t="shared" si="4"/>
        <v>1500</v>
      </c>
      <c r="G37" s="337"/>
      <c r="H37" s="314"/>
      <c r="I37" s="315"/>
      <c r="J37" s="315"/>
      <c r="K37" s="315"/>
      <c r="L37" s="322"/>
      <c r="M37" s="322"/>
      <c r="N37" s="322"/>
      <c r="O37" s="316"/>
      <c r="P37" s="317"/>
      <c r="Y37" s="318"/>
      <c r="Z37" s="306"/>
    </row>
    <row r="38" spans="1:26" s="323" customFormat="1" ht="13.5" outlineLevel="1">
      <c r="A38" s="319" t="s">
        <v>1226</v>
      </c>
      <c r="B38" s="320"/>
      <c r="C38" s="309" t="s">
        <v>1123</v>
      </c>
      <c r="D38" s="321">
        <v>80</v>
      </c>
      <c r="E38" s="311">
        <v>150</v>
      </c>
      <c r="F38" s="312">
        <f t="shared" si="4"/>
        <v>12000</v>
      </c>
      <c r="G38" s="337"/>
      <c r="H38" s="314"/>
      <c r="I38" s="315"/>
      <c r="J38" s="315"/>
      <c r="K38" s="315"/>
      <c r="L38" s="322"/>
      <c r="M38" s="322"/>
      <c r="N38" s="322"/>
      <c r="O38" s="316"/>
      <c r="P38" s="317"/>
      <c r="Y38" s="318"/>
      <c r="Z38" s="306"/>
    </row>
    <row r="39" spans="1:26" s="323" customFormat="1" ht="13.5" outlineLevel="1">
      <c r="A39" s="319" t="s">
        <v>1227</v>
      </c>
      <c r="B39" s="320"/>
      <c r="C39" s="309" t="s">
        <v>1123</v>
      </c>
      <c r="D39" s="321">
        <v>30</v>
      </c>
      <c r="E39" s="311">
        <v>150</v>
      </c>
      <c r="F39" s="312">
        <f t="shared" si="4"/>
        <v>4500</v>
      </c>
      <c r="G39" s="337"/>
      <c r="H39" s="314"/>
      <c r="I39" s="315"/>
      <c r="J39" s="315"/>
      <c r="K39" s="315"/>
      <c r="L39" s="322"/>
      <c r="M39" s="322"/>
      <c r="N39" s="322"/>
      <c r="O39" s="316"/>
      <c r="P39" s="317"/>
      <c r="Y39" s="318"/>
      <c r="Z39" s="306"/>
    </row>
    <row r="40" spans="1:26" s="323" customFormat="1" ht="13.5" outlineLevel="1">
      <c r="A40" s="319" t="s">
        <v>1241</v>
      </c>
      <c r="B40" s="320"/>
      <c r="C40" s="309" t="s">
        <v>1123</v>
      </c>
      <c r="D40" s="321">
        <v>30</v>
      </c>
      <c r="E40" s="311">
        <v>150</v>
      </c>
      <c r="F40" s="312">
        <f t="shared" si="4"/>
        <v>4500</v>
      </c>
      <c r="G40" s="337"/>
      <c r="H40" s="314"/>
      <c r="I40" s="315"/>
      <c r="J40" s="315"/>
      <c r="K40" s="315"/>
      <c r="L40" s="322"/>
      <c r="M40" s="322"/>
      <c r="N40" s="322"/>
      <c r="O40" s="316"/>
      <c r="P40" s="317"/>
      <c r="Y40" s="318"/>
      <c r="Z40" s="306"/>
    </row>
    <row r="41" spans="1:26" s="323" customFormat="1" ht="13.5" outlineLevel="1">
      <c r="A41" s="319" t="s">
        <v>1238</v>
      </c>
      <c r="B41" s="320"/>
      <c r="C41" s="309" t="s">
        <v>1123</v>
      </c>
      <c r="D41" s="321">
        <v>20</v>
      </c>
      <c r="E41" s="311">
        <v>150</v>
      </c>
      <c r="F41" s="312">
        <f t="shared" si="4"/>
        <v>3000</v>
      </c>
      <c r="G41" s="337"/>
      <c r="H41" s="314"/>
      <c r="I41" s="315"/>
      <c r="J41" s="315"/>
      <c r="K41" s="315"/>
      <c r="L41" s="322"/>
      <c r="M41" s="322"/>
      <c r="N41" s="322"/>
      <c r="O41" s="316"/>
      <c r="P41" s="317"/>
      <c r="Y41" s="318"/>
      <c r="Z41" s="306"/>
    </row>
    <row r="42" spans="1:26" s="323" customFormat="1" ht="13.5" outlineLevel="1">
      <c r="A42" s="319" t="s">
        <v>1239</v>
      </c>
      <c r="B42" s="320"/>
      <c r="C42" s="309" t="s">
        <v>1123</v>
      </c>
      <c r="D42" s="321">
        <v>20</v>
      </c>
      <c r="E42" s="311">
        <v>150</v>
      </c>
      <c r="F42" s="312">
        <f t="shared" ref="F42" si="5">D42*E42</f>
        <v>3000</v>
      </c>
      <c r="G42" s="337"/>
      <c r="H42" s="314"/>
      <c r="I42" s="315"/>
      <c r="J42" s="315"/>
      <c r="K42" s="315"/>
      <c r="L42" s="322"/>
      <c r="M42" s="322"/>
      <c r="N42" s="322"/>
      <c r="O42" s="316"/>
      <c r="P42" s="317"/>
      <c r="Y42" s="318"/>
      <c r="Z42" s="306"/>
    </row>
    <row r="43" spans="1:26" s="323" customFormat="1" ht="13.5" outlineLevel="1">
      <c r="A43" s="319" t="s">
        <v>1240</v>
      </c>
      <c r="B43" s="320"/>
      <c r="C43" s="309" t="s">
        <v>1123</v>
      </c>
      <c r="D43" s="321">
        <v>20</v>
      </c>
      <c r="E43" s="311">
        <v>150</v>
      </c>
      <c r="F43" s="312">
        <f t="shared" ref="F43" si="6">D43*E43</f>
        <v>3000</v>
      </c>
      <c r="G43" s="337"/>
      <c r="H43" s="314"/>
      <c r="I43" s="315"/>
      <c r="J43" s="315"/>
      <c r="K43" s="315"/>
      <c r="L43" s="322"/>
      <c r="M43" s="322"/>
      <c r="N43" s="322"/>
      <c r="O43" s="316"/>
      <c r="P43" s="317"/>
      <c r="Y43" s="318"/>
      <c r="Z43" s="306"/>
    </row>
    <row r="44" spans="1:26" s="323" customFormat="1" ht="13.5" outlineLevel="1">
      <c r="A44" s="319" t="s">
        <v>1237</v>
      </c>
      <c r="B44" s="320"/>
      <c r="C44" s="309" t="s">
        <v>1123</v>
      </c>
      <c r="D44" s="321">
        <v>10</v>
      </c>
      <c r="E44" s="311">
        <v>150</v>
      </c>
      <c r="F44" s="312">
        <f t="shared" si="4"/>
        <v>1500</v>
      </c>
      <c r="G44" s="337"/>
      <c r="H44" s="314"/>
      <c r="I44" s="315"/>
      <c r="J44" s="315"/>
      <c r="K44" s="315"/>
      <c r="L44" s="322"/>
      <c r="M44" s="322"/>
      <c r="N44" s="322"/>
      <c r="O44" s="316"/>
      <c r="P44" s="317"/>
      <c r="Y44" s="318"/>
      <c r="Z44" s="306"/>
    </row>
    <row r="45" spans="1:26" s="323" customFormat="1" ht="13.5" outlineLevel="1">
      <c r="A45" s="319" t="s">
        <v>1236</v>
      </c>
      <c r="B45" s="320"/>
      <c r="C45" s="309" t="s">
        <v>1123</v>
      </c>
      <c r="D45" s="321">
        <v>200</v>
      </c>
      <c r="E45" s="311">
        <v>150</v>
      </c>
      <c r="F45" s="312">
        <f t="shared" si="4"/>
        <v>30000</v>
      </c>
      <c r="G45" s="337"/>
      <c r="H45" s="314"/>
      <c r="I45" s="315"/>
      <c r="J45" s="315"/>
      <c r="K45" s="315"/>
      <c r="L45" s="322"/>
      <c r="M45" s="322"/>
      <c r="N45" s="322"/>
      <c r="O45" s="316"/>
      <c r="P45" s="317"/>
      <c r="Y45" s="318"/>
      <c r="Z45" s="306"/>
    </row>
    <row r="46" spans="1:26" s="323" customFormat="1" ht="13.5" outlineLevel="1">
      <c r="A46" s="319" t="s">
        <v>1235</v>
      </c>
      <c r="B46" s="320"/>
      <c r="C46" s="309" t="s">
        <v>1123</v>
      </c>
      <c r="D46" s="321">
        <v>200</v>
      </c>
      <c r="E46" s="311">
        <v>150</v>
      </c>
      <c r="F46" s="312">
        <f t="shared" si="4"/>
        <v>30000</v>
      </c>
      <c r="G46" s="337"/>
      <c r="H46" s="314"/>
      <c r="I46" s="315"/>
      <c r="J46" s="315"/>
      <c r="K46" s="315"/>
      <c r="L46" s="322"/>
      <c r="M46" s="322"/>
      <c r="N46" s="322"/>
      <c r="O46" s="316"/>
      <c r="P46" s="317"/>
      <c r="Y46" s="318"/>
      <c r="Z46" s="306"/>
    </row>
    <row r="47" spans="1:26" s="323" customFormat="1" ht="13.5" outlineLevel="1">
      <c r="A47" s="319" t="s">
        <v>1234</v>
      </c>
      <c r="B47" s="320"/>
      <c r="C47" s="309" t="s">
        <v>1123</v>
      </c>
      <c r="D47" s="321">
        <v>0</v>
      </c>
      <c r="E47" s="311">
        <v>150</v>
      </c>
      <c r="F47" s="312">
        <f t="shared" si="4"/>
        <v>0</v>
      </c>
      <c r="G47" s="337"/>
      <c r="H47" s="314"/>
      <c r="I47" s="315"/>
      <c r="J47" s="315"/>
      <c r="K47" s="315"/>
      <c r="L47" s="322"/>
      <c r="M47" s="322"/>
      <c r="N47" s="322"/>
      <c r="O47" s="316"/>
      <c r="P47" s="317"/>
      <c r="Y47" s="318"/>
      <c r="Z47" s="306"/>
    </row>
    <row r="48" spans="1:26" s="323" customFormat="1" ht="13.5" outlineLevel="1">
      <c r="A48" s="319" t="s">
        <v>1232</v>
      </c>
      <c r="B48" s="320"/>
      <c r="C48" s="309" t="s">
        <v>1123</v>
      </c>
      <c r="D48" s="321">
        <v>0</v>
      </c>
      <c r="E48" s="311">
        <v>150</v>
      </c>
      <c r="F48" s="312">
        <f t="shared" si="4"/>
        <v>0</v>
      </c>
      <c r="G48" s="337"/>
      <c r="H48" s="314"/>
      <c r="I48" s="315"/>
      <c r="J48" s="315"/>
      <c r="K48" s="315"/>
      <c r="L48" s="322"/>
      <c r="M48" s="322"/>
      <c r="N48" s="322"/>
      <c r="O48" s="316"/>
      <c r="P48" s="317"/>
      <c r="Y48" s="318"/>
      <c r="Z48" s="306"/>
    </row>
    <row r="49" spans="1:26" s="323" customFormat="1" ht="13.5" outlineLevel="1">
      <c r="A49" s="319" t="s">
        <v>1233</v>
      </c>
      <c r="B49" s="320"/>
      <c r="C49" s="309" t="s">
        <v>1123</v>
      </c>
      <c r="D49" s="321">
        <v>0</v>
      </c>
      <c r="E49" s="311">
        <v>150</v>
      </c>
      <c r="F49" s="312">
        <f t="shared" si="4"/>
        <v>0</v>
      </c>
      <c r="G49" s="337"/>
      <c r="H49" s="314"/>
      <c r="I49" s="315"/>
      <c r="J49" s="315"/>
      <c r="K49" s="315"/>
      <c r="L49" s="322"/>
      <c r="M49" s="322"/>
      <c r="N49" s="322"/>
      <c r="O49" s="316"/>
      <c r="P49" s="317"/>
      <c r="Y49" s="318"/>
      <c r="Z49" s="306"/>
    </row>
    <row r="50" spans="1:26" s="323" customFormat="1" ht="13.5" outlineLevel="1">
      <c r="A50" s="319" t="s">
        <v>1230</v>
      </c>
      <c r="B50" s="320"/>
      <c r="C50" s="309" t="s">
        <v>1123</v>
      </c>
      <c r="D50" s="321">
        <v>100</v>
      </c>
      <c r="E50" s="311">
        <v>150</v>
      </c>
      <c r="F50" s="312">
        <f t="shared" si="4"/>
        <v>15000</v>
      </c>
      <c r="G50" s="337"/>
      <c r="H50" s="314"/>
      <c r="I50" s="315"/>
      <c r="J50" s="315"/>
      <c r="K50" s="315"/>
      <c r="L50" s="322"/>
      <c r="M50" s="322"/>
      <c r="N50" s="322"/>
      <c r="O50" s="316"/>
      <c r="P50" s="317"/>
      <c r="Y50" s="318"/>
      <c r="Z50" s="306"/>
    </row>
    <row r="51" spans="1:26" s="323" customFormat="1" ht="13.5" outlineLevel="1">
      <c r="A51" s="319" t="s">
        <v>1231</v>
      </c>
      <c r="B51" s="320"/>
      <c r="C51" s="309" t="s">
        <v>1123</v>
      </c>
      <c r="D51" s="321">
        <v>800</v>
      </c>
      <c r="E51" s="311">
        <v>150</v>
      </c>
      <c r="F51" s="312">
        <f t="shared" si="4"/>
        <v>120000</v>
      </c>
      <c r="G51" s="337"/>
      <c r="H51" s="314"/>
      <c r="I51" s="315"/>
      <c r="J51" s="315"/>
      <c r="K51" s="315"/>
      <c r="L51" s="322"/>
      <c r="M51" s="322"/>
      <c r="N51" s="322"/>
      <c r="O51" s="316"/>
      <c r="P51" s="317"/>
      <c r="Y51" s="318"/>
      <c r="Z51" s="306"/>
    </row>
    <row r="52" spans="1:26" s="323" customFormat="1" ht="13.5" outlineLevel="1">
      <c r="A52" s="319" t="s">
        <v>1229</v>
      </c>
      <c r="B52" s="320"/>
      <c r="C52" s="309" t="s">
        <v>1123</v>
      </c>
      <c r="D52" s="321">
        <v>0</v>
      </c>
      <c r="E52" s="311">
        <v>150</v>
      </c>
      <c r="F52" s="312">
        <f t="shared" si="4"/>
        <v>0</v>
      </c>
      <c r="G52" s="337"/>
      <c r="H52" s="314"/>
      <c r="I52" s="315"/>
      <c r="J52" s="315"/>
      <c r="K52" s="315"/>
      <c r="L52" s="322"/>
      <c r="M52" s="322"/>
      <c r="N52" s="322"/>
      <c r="O52" s="316"/>
      <c r="P52" s="317"/>
      <c r="Y52" s="318"/>
      <c r="Z52" s="306"/>
    </row>
    <row r="53" spans="1:26" s="323" customFormat="1" ht="13.5" outlineLevel="1">
      <c r="A53" s="319" t="s">
        <v>1228</v>
      </c>
      <c r="B53" s="320"/>
      <c r="C53" s="309" t="s">
        <v>1123</v>
      </c>
      <c r="D53" s="321">
        <v>200</v>
      </c>
      <c r="E53" s="311">
        <v>150</v>
      </c>
      <c r="F53" s="312">
        <f t="shared" si="4"/>
        <v>30000</v>
      </c>
      <c r="G53" s="337"/>
      <c r="H53" s="314"/>
      <c r="I53" s="315"/>
      <c r="J53" s="315"/>
      <c r="K53" s="315"/>
      <c r="L53" s="322"/>
      <c r="M53" s="322"/>
      <c r="N53" s="322"/>
      <c r="O53" s="316" t="s">
        <v>22</v>
      </c>
      <c r="P53" s="317" t="e">
        <f>#REF!*#REF!</f>
        <v>#REF!</v>
      </c>
      <c r="Y53" s="318" t="e">
        <f>#REF!</f>
        <v>#REF!</v>
      </c>
      <c r="Z53" s="306" t="str">
        <f>C53</f>
        <v>Level 6</v>
      </c>
    </row>
    <row r="54" spans="1:26" s="304" customFormat="1">
      <c r="A54" s="324" t="s">
        <v>1209</v>
      </c>
      <c r="B54" s="325"/>
      <c r="C54" s="326"/>
      <c r="D54" s="327">
        <f>SUM(D21:D53)</f>
        <v>5010</v>
      </c>
      <c r="E54" s="328"/>
      <c r="F54" s="329"/>
      <c r="G54" s="330"/>
      <c r="H54" s="331"/>
      <c r="I54" s="332"/>
      <c r="J54" s="332"/>
      <c r="K54" s="332"/>
      <c r="L54" s="325"/>
      <c r="M54" s="325"/>
      <c r="N54" s="325"/>
      <c r="O54" s="303"/>
      <c r="Y54" s="305"/>
      <c r="Z54" s="306"/>
    </row>
    <row r="55" spans="1:26" s="323" customFormat="1" ht="12" customHeight="1" outlineLevel="1">
      <c r="A55" s="333" t="s">
        <v>1242</v>
      </c>
      <c r="B55" s="334"/>
      <c r="C55" s="335"/>
      <c r="D55" s="336"/>
      <c r="E55" s="335"/>
      <c r="F55" s="312"/>
      <c r="G55" s="337"/>
      <c r="H55" s="338"/>
      <c r="I55" s="322"/>
      <c r="J55" s="322"/>
      <c r="K55" s="322"/>
      <c r="L55" s="322"/>
      <c r="M55" s="322"/>
      <c r="N55" s="322"/>
      <c r="O55" s="303"/>
      <c r="Y55" s="305"/>
      <c r="Z55" s="306"/>
    </row>
    <row r="56" spans="1:26" s="323" customFormat="1" ht="13.5" outlineLevel="1">
      <c r="A56" s="319" t="s">
        <v>1244</v>
      </c>
      <c r="B56" s="320"/>
      <c r="C56" s="309" t="s">
        <v>1123</v>
      </c>
      <c r="D56" s="321">
        <v>0</v>
      </c>
      <c r="E56" s="311">
        <v>150</v>
      </c>
      <c r="F56" s="312">
        <f>D56*E56</f>
        <v>0</v>
      </c>
      <c r="G56" s="337"/>
      <c r="H56" s="314"/>
      <c r="I56" s="315"/>
      <c r="J56" s="315"/>
      <c r="K56" s="315"/>
      <c r="L56" s="322"/>
      <c r="M56" s="322"/>
      <c r="N56" s="322"/>
      <c r="O56" s="316" t="s">
        <v>22</v>
      </c>
      <c r="P56" s="317" t="e">
        <f>#REF!*#REF!</f>
        <v>#REF!</v>
      </c>
      <c r="Y56" s="318" t="e">
        <f>#REF!</f>
        <v>#REF!</v>
      </c>
      <c r="Z56" s="306" t="str">
        <f>C56</f>
        <v>Level 6</v>
      </c>
    </row>
    <row r="57" spans="1:26" s="323" customFormat="1" ht="13.5" outlineLevel="1">
      <c r="A57" s="319" t="s">
        <v>1244</v>
      </c>
      <c r="B57" s="320"/>
      <c r="C57" s="309" t="s">
        <v>1123</v>
      </c>
      <c r="D57" s="321">
        <v>0</v>
      </c>
      <c r="E57" s="311">
        <v>150</v>
      </c>
      <c r="F57" s="312">
        <f>D57*E57</f>
        <v>0</v>
      </c>
      <c r="G57" s="337"/>
      <c r="H57" s="314"/>
      <c r="I57" s="315"/>
      <c r="J57" s="315"/>
      <c r="K57" s="315"/>
      <c r="L57" s="322"/>
      <c r="M57" s="322"/>
      <c r="N57" s="322"/>
      <c r="O57" s="316" t="s">
        <v>22</v>
      </c>
      <c r="P57" s="317" t="e">
        <f>#REF!*#REF!</f>
        <v>#REF!</v>
      </c>
      <c r="Y57" s="318" t="e">
        <f>#REF!</f>
        <v>#REF!</v>
      </c>
      <c r="Z57" s="306" t="str">
        <f>C57</f>
        <v>Level 6</v>
      </c>
    </row>
    <row r="58" spans="1:26" s="323" customFormat="1" ht="13.5" outlineLevel="1">
      <c r="A58" s="319" t="s">
        <v>1244</v>
      </c>
      <c r="B58" s="320"/>
      <c r="C58" s="309" t="s">
        <v>1123</v>
      </c>
      <c r="D58" s="321">
        <v>0</v>
      </c>
      <c r="E58" s="311">
        <v>150</v>
      </c>
      <c r="F58" s="312">
        <f>D58*E58</f>
        <v>0</v>
      </c>
      <c r="G58" s="337"/>
      <c r="H58" s="314"/>
      <c r="I58" s="315"/>
      <c r="J58" s="315"/>
      <c r="K58" s="315"/>
      <c r="L58" s="322"/>
      <c r="M58" s="322"/>
      <c r="N58" s="322"/>
      <c r="O58" s="316" t="s">
        <v>22</v>
      </c>
      <c r="P58" s="317" t="e">
        <f>#REF!*#REF!</f>
        <v>#REF!</v>
      </c>
      <c r="Y58" s="318" t="e">
        <f>#REF!</f>
        <v>#REF!</v>
      </c>
      <c r="Z58" s="306" t="str">
        <f>C58</f>
        <v>Level 6</v>
      </c>
    </row>
    <row r="59" spans="1:26" s="304" customFormat="1">
      <c r="A59" s="324" t="s">
        <v>1243</v>
      </c>
      <c r="B59" s="325"/>
      <c r="C59" s="326"/>
      <c r="D59" s="327">
        <f>SUM(D55:D58)</f>
        <v>0</v>
      </c>
      <c r="E59" s="328"/>
      <c r="F59" s="329"/>
      <c r="G59" s="330"/>
      <c r="H59" s="331"/>
      <c r="I59" s="332"/>
      <c r="J59" s="332"/>
      <c r="K59" s="332"/>
      <c r="L59" s="325"/>
      <c r="M59" s="325"/>
      <c r="N59" s="325"/>
      <c r="O59" s="303"/>
      <c r="Y59" s="305"/>
      <c r="Z59" s="306"/>
    </row>
    <row r="60" spans="1:26" s="323" customFormat="1" ht="12" customHeight="1" outlineLevel="1">
      <c r="A60" s="333" t="s">
        <v>1251</v>
      </c>
      <c r="B60" s="334"/>
      <c r="C60" s="335"/>
      <c r="D60" s="336"/>
      <c r="E60" s="335"/>
      <c r="F60" s="312"/>
      <c r="G60" s="337"/>
      <c r="H60" s="338"/>
      <c r="I60" s="322"/>
      <c r="J60" s="322"/>
      <c r="K60" s="322"/>
      <c r="L60" s="322"/>
      <c r="M60" s="322"/>
      <c r="N60" s="339"/>
      <c r="O60" s="303"/>
      <c r="Z60" s="306"/>
    </row>
    <row r="61" spans="1:26" s="323" customFormat="1" ht="13.5" outlineLevel="1">
      <c r="A61" s="319" t="s">
        <v>1245</v>
      </c>
      <c r="B61" s="320"/>
      <c r="C61" s="309" t="s">
        <v>1123</v>
      </c>
      <c r="D61" s="321">
        <v>40</v>
      </c>
      <c r="E61" s="311">
        <v>200</v>
      </c>
      <c r="F61" s="312">
        <f t="shared" ref="F61:F66" si="7">D61*E61</f>
        <v>8000</v>
      </c>
      <c r="G61" s="337"/>
      <c r="H61" s="314"/>
      <c r="I61" s="315"/>
      <c r="J61" s="315"/>
      <c r="K61" s="315"/>
      <c r="L61" s="322"/>
      <c r="M61" s="322"/>
      <c r="N61" s="339"/>
      <c r="O61" s="316" t="s">
        <v>22</v>
      </c>
      <c r="P61" s="317" t="e">
        <f>#REF!*#REF!</f>
        <v>#REF!</v>
      </c>
      <c r="Y61" s="318" t="e">
        <f>#REF!</f>
        <v>#REF!</v>
      </c>
      <c r="Z61" s="306" t="str">
        <f t="shared" ref="Z61:Z66" si="8">C61</f>
        <v>Level 6</v>
      </c>
    </row>
    <row r="62" spans="1:26" s="323" customFormat="1" ht="13.5" outlineLevel="1">
      <c r="A62" s="319" t="s">
        <v>1246</v>
      </c>
      <c r="B62" s="320"/>
      <c r="C62" s="309" t="s">
        <v>1123</v>
      </c>
      <c r="D62" s="321">
        <v>200</v>
      </c>
      <c r="E62" s="311">
        <v>200</v>
      </c>
      <c r="F62" s="312">
        <f t="shared" si="7"/>
        <v>40000</v>
      </c>
      <c r="G62" s="337"/>
      <c r="H62" s="314"/>
      <c r="I62" s="315"/>
      <c r="J62" s="315"/>
      <c r="K62" s="315"/>
      <c r="L62" s="322"/>
      <c r="M62" s="322"/>
      <c r="N62" s="322"/>
      <c r="O62" s="316"/>
      <c r="P62" s="317"/>
      <c r="Y62" s="318"/>
      <c r="Z62" s="306"/>
    </row>
    <row r="63" spans="1:26" s="323" customFormat="1" ht="13.5" outlineLevel="1">
      <c r="A63" s="319" t="s">
        <v>1247</v>
      </c>
      <c r="B63" s="320"/>
      <c r="C63" s="309" t="s">
        <v>1123</v>
      </c>
      <c r="D63" s="321">
        <v>100</v>
      </c>
      <c r="E63" s="311">
        <v>200</v>
      </c>
      <c r="F63" s="312">
        <f t="shared" si="7"/>
        <v>20000</v>
      </c>
      <c r="G63" s="337"/>
      <c r="H63" s="314"/>
      <c r="I63" s="315"/>
      <c r="J63" s="315"/>
      <c r="K63" s="315"/>
      <c r="L63" s="322"/>
      <c r="M63" s="322"/>
      <c r="N63" s="322"/>
      <c r="O63" s="316"/>
      <c r="P63" s="317"/>
      <c r="Y63" s="318"/>
      <c r="Z63" s="306"/>
    </row>
    <row r="64" spans="1:26" s="323" customFormat="1" ht="13.5" outlineLevel="1">
      <c r="A64" s="319" t="s">
        <v>1247</v>
      </c>
      <c r="B64" s="320"/>
      <c r="C64" s="309" t="s">
        <v>1123</v>
      </c>
      <c r="D64" s="321">
        <v>0</v>
      </c>
      <c r="E64" s="311">
        <v>200</v>
      </c>
      <c r="F64" s="312">
        <f t="shared" si="7"/>
        <v>0</v>
      </c>
      <c r="G64" s="337"/>
      <c r="H64" s="314"/>
      <c r="I64" s="315"/>
      <c r="J64" s="315"/>
      <c r="K64" s="315"/>
      <c r="L64" s="322"/>
      <c r="M64" s="322"/>
      <c r="N64" s="322"/>
      <c r="O64" s="316" t="s">
        <v>22</v>
      </c>
      <c r="P64" s="317" t="e">
        <f>#REF!*#REF!</f>
        <v>#REF!</v>
      </c>
      <c r="Y64" s="318" t="e">
        <f>#REF!</f>
        <v>#REF!</v>
      </c>
      <c r="Z64" s="306" t="str">
        <f t="shared" si="8"/>
        <v>Level 6</v>
      </c>
    </row>
    <row r="65" spans="1:26" s="323" customFormat="1" ht="13.5" outlineLevel="1">
      <c r="A65" s="319" t="s">
        <v>1248</v>
      </c>
      <c r="B65" s="320"/>
      <c r="C65" s="309" t="s">
        <v>1123</v>
      </c>
      <c r="D65" s="321">
        <v>50</v>
      </c>
      <c r="E65" s="311">
        <v>200</v>
      </c>
      <c r="F65" s="312">
        <f t="shared" si="7"/>
        <v>10000</v>
      </c>
      <c r="G65" s="337"/>
      <c r="H65" s="314"/>
      <c r="I65" s="315"/>
      <c r="J65" s="315"/>
      <c r="K65" s="315"/>
      <c r="L65" s="322"/>
      <c r="M65" s="322"/>
      <c r="N65" s="322"/>
      <c r="O65" s="316" t="s">
        <v>22</v>
      </c>
      <c r="P65" s="317" t="e">
        <f>#REF!*#REF!</f>
        <v>#REF!</v>
      </c>
      <c r="Y65" s="318" t="e">
        <f>#REF!</f>
        <v>#REF!</v>
      </c>
      <c r="Z65" s="306" t="str">
        <f t="shared" si="8"/>
        <v>Level 6</v>
      </c>
    </row>
    <row r="66" spans="1:26" s="323" customFormat="1" ht="13.5" outlineLevel="1">
      <c r="A66" s="319" t="s">
        <v>1249</v>
      </c>
      <c r="B66" s="320"/>
      <c r="C66" s="309" t="s">
        <v>1123</v>
      </c>
      <c r="D66" s="321">
        <v>50</v>
      </c>
      <c r="E66" s="311">
        <v>200</v>
      </c>
      <c r="F66" s="312">
        <f t="shared" si="7"/>
        <v>10000</v>
      </c>
      <c r="G66" s="337"/>
      <c r="H66" s="314"/>
      <c r="I66" s="315"/>
      <c r="J66" s="315"/>
      <c r="K66" s="315"/>
      <c r="L66" s="302"/>
      <c r="M66" s="302"/>
      <c r="N66" s="340"/>
      <c r="O66" s="316" t="s">
        <v>22</v>
      </c>
      <c r="P66" s="317" t="e">
        <f>#REF!*#REF!</f>
        <v>#REF!</v>
      </c>
      <c r="Q66" s="304"/>
      <c r="R66" s="304"/>
      <c r="S66" s="304"/>
      <c r="T66" s="304"/>
      <c r="U66" s="304"/>
      <c r="V66" s="304"/>
      <c r="W66" s="304"/>
      <c r="X66" s="304"/>
      <c r="Y66" s="318" t="e">
        <f>#REF!</f>
        <v>#REF!</v>
      </c>
      <c r="Z66" s="306" t="str">
        <f t="shared" si="8"/>
        <v>Level 6</v>
      </c>
    </row>
    <row r="67" spans="1:26" s="304" customFormat="1">
      <c r="A67" s="324" t="s">
        <v>1250</v>
      </c>
      <c r="B67" s="325"/>
      <c r="C67" s="326"/>
      <c r="D67" s="327">
        <f>SUM(D60:D66)</f>
        <v>440</v>
      </c>
      <c r="E67" s="328"/>
      <c r="F67" s="341"/>
      <c r="G67" s="330"/>
      <c r="H67" s="331"/>
      <c r="I67" s="332"/>
      <c r="J67" s="332"/>
      <c r="K67" s="332"/>
      <c r="L67" s="325"/>
      <c r="M67" s="325"/>
      <c r="N67" s="325"/>
      <c r="O67" s="303"/>
      <c r="Y67" s="305"/>
      <c r="Z67" s="306"/>
    </row>
    <row r="68" spans="1:26" s="323" customFormat="1" ht="12" customHeight="1" outlineLevel="1" collapsed="1">
      <c r="A68" s="333" t="s">
        <v>1252</v>
      </c>
      <c r="B68" s="334"/>
      <c r="C68" s="335"/>
      <c r="D68" s="336"/>
      <c r="E68" s="335"/>
      <c r="F68" s="342"/>
      <c r="G68" s="337"/>
      <c r="H68" s="338"/>
      <c r="I68" s="322"/>
      <c r="J68" s="322"/>
      <c r="K68" s="322"/>
      <c r="L68" s="322"/>
      <c r="M68" s="322"/>
      <c r="N68" s="322"/>
      <c r="O68" s="303"/>
      <c r="Y68" s="305"/>
      <c r="Z68" s="306"/>
    </row>
    <row r="69" spans="1:26" s="323" customFormat="1" ht="13.5" outlineLevel="1">
      <c r="A69" s="319" t="s">
        <v>1255</v>
      </c>
      <c r="B69" s="320"/>
      <c r="C69" s="309" t="s">
        <v>1123</v>
      </c>
      <c r="D69" s="321">
        <v>100</v>
      </c>
      <c r="E69" s="311">
        <v>200</v>
      </c>
      <c r="F69" s="312">
        <f>D69*E69</f>
        <v>20000</v>
      </c>
      <c r="G69" s="337"/>
      <c r="H69" s="314"/>
      <c r="I69" s="315"/>
      <c r="J69" s="315"/>
      <c r="K69" s="315"/>
      <c r="L69" s="322"/>
      <c r="M69" s="322"/>
      <c r="N69" s="322"/>
      <c r="O69" s="316" t="s">
        <v>22</v>
      </c>
      <c r="P69" s="317" t="e">
        <f>#REF!*#REF!</f>
        <v>#REF!</v>
      </c>
      <c r="Y69" s="318" t="e">
        <f>#REF!</f>
        <v>#REF!</v>
      </c>
      <c r="Z69" s="306" t="str">
        <f t="shared" ref="Z69:Z74" si="9">C69</f>
        <v>Level 6</v>
      </c>
    </row>
    <row r="70" spans="1:26" s="323" customFormat="1" ht="13.5" outlineLevel="1">
      <c r="A70" s="319" t="s">
        <v>1256</v>
      </c>
      <c r="B70" s="320"/>
      <c r="C70" s="309" t="s">
        <v>1123</v>
      </c>
      <c r="D70" s="321">
        <v>100</v>
      </c>
      <c r="E70" s="311">
        <v>200</v>
      </c>
      <c r="F70" s="312">
        <f>D70*E70</f>
        <v>20000</v>
      </c>
      <c r="G70" s="337"/>
      <c r="H70" s="314"/>
      <c r="I70" s="315"/>
      <c r="J70" s="315"/>
      <c r="K70" s="315"/>
      <c r="L70" s="322"/>
      <c r="M70" s="322"/>
      <c r="N70" s="322"/>
      <c r="O70" s="316" t="s">
        <v>22</v>
      </c>
      <c r="P70" s="317" t="e">
        <f>#REF!*#REF!</f>
        <v>#REF!</v>
      </c>
      <c r="Y70" s="318" t="e">
        <f>#REF!</f>
        <v>#REF!</v>
      </c>
      <c r="Z70" s="306" t="str">
        <f t="shared" si="9"/>
        <v>Level 6</v>
      </c>
    </row>
    <row r="71" spans="1:26" s="323" customFormat="1" ht="13.5" outlineLevel="1">
      <c r="A71" s="319" t="s">
        <v>1257</v>
      </c>
      <c r="B71" s="320"/>
      <c r="C71" s="309" t="s">
        <v>1123</v>
      </c>
      <c r="D71" s="321">
        <v>20</v>
      </c>
      <c r="E71" s="311">
        <v>200</v>
      </c>
      <c r="F71" s="312">
        <f>D71*E71</f>
        <v>4000</v>
      </c>
      <c r="G71" s="337"/>
      <c r="H71" s="314"/>
      <c r="I71" s="315"/>
      <c r="J71" s="315"/>
      <c r="K71" s="315"/>
      <c r="L71" s="322"/>
      <c r="M71" s="322"/>
      <c r="N71" s="322"/>
      <c r="O71" s="316" t="s">
        <v>22</v>
      </c>
      <c r="P71" s="317" t="e">
        <f>#REF!*#REF!</f>
        <v>#REF!</v>
      </c>
      <c r="Y71" s="318" t="e">
        <f>#REF!</f>
        <v>#REF!</v>
      </c>
      <c r="Z71" s="306" t="str">
        <f t="shared" si="9"/>
        <v>Level 6</v>
      </c>
    </row>
    <row r="72" spans="1:26" s="323" customFormat="1" ht="13.5" outlineLevel="1">
      <c r="A72" s="319" t="s">
        <v>1258</v>
      </c>
      <c r="B72" s="320"/>
      <c r="C72" s="309" t="s">
        <v>1123</v>
      </c>
      <c r="D72" s="321">
        <v>80</v>
      </c>
      <c r="E72" s="311">
        <v>200</v>
      </c>
      <c r="F72" s="312">
        <f t="shared" ref="F72:F73" si="10">D72*E72</f>
        <v>16000</v>
      </c>
      <c r="G72" s="337"/>
      <c r="H72" s="314"/>
      <c r="I72" s="315"/>
      <c r="J72" s="315"/>
      <c r="K72" s="315"/>
      <c r="L72" s="322"/>
      <c r="M72" s="322"/>
      <c r="N72" s="322"/>
      <c r="O72" s="316"/>
      <c r="P72" s="317"/>
      <c r="Y72" s="318"/>
      <c r="Z72" s="306"/>
    </row>
    <row r="73" spans="1:26" s="323" customFormat="1" ht="13.5" outlineLevel="1">
      <c r="A73" s="319" t="s">
        <v>1259</v>
      </c>
      <c r="B73" s="320"/>
      <c r="C73" s="309" t="s">
        <v>1123</v>
      </c>
      <c r="D73" s="321">
        <v>10</v>
      </c>
      <c r="E73" s="311">
        <v>200</v>
      </c>
      <c r="F73" s="312">
        <f t="shared" si="10"/>
        <v>2000</v>
      </c>
      <c r="G73" s="337"/>
      <c r="H73" s="314"/>
      <c r="I73" s="315"/>
      <c r="J73" s="315"/>
      <c r="K73" s="315"/>
      <c r="L73" s="322"/>
      <c r="M73" s="322"/>
      <c r="N73" s="322"/>
      <c r="O73" s="316"/>
      <c r="P73" s="317"/>
      <c r="Y73" s="318"/>
      <c r="Z73" s="306"/>
    </row>
    <row r="74" spans="1:26" s="323" customFormat="1" ht="13.5" outlineLevel="1">
      <c r="A74" s="319" t="s">
        <v>1260</v>
      </c>
      <c r="B74" s="320"/>
      <c r="C74" s="309" t="s">
        <v>1123</v>
      </c>
      <c r="D74" s="321">
        <v>300</v>
      </c>
      <c r="E74" s="311">
        <v>200</v>
      </c>
      <c r="F74" s="312">
        <f>D74*E74</f>
        <v>60000</v>
      </c>
      <c r="G74" s="337"/>
      <c r="H74" s="314"/>
      <c r="I74" s="315"/>
      <c r="J74" s="315"/>
      <c r="K74" s="315"/>
      <c r="L74" s="322"/>
      <c r="M74" s="322"/>
      <c r="N74" s="322"/>
      <c r="O74" s="316" t="s">
        <v>22</v>
      </c>
      <c r="P74" s="317" t="e">
        <f>#REF!*#REF!</f>
        <v>#REF!</v>
      </c>
      <c r="Y74" s="318" t="e">
        <f>#REF!</f>
        <v>#REF!</v>
      </c>
      <c r="Z74" s="306" t="str">
        <f t="shared" si="9"/>
        <v>Level 6</v>
      </c>
    </row>
    <row r="75" spans="1:26" s="304" customFormat="1" ht="13.5" customHeight="1" thickBot="1">
      <c r="A75" s="324" t="s">
        <v>1253</v>
      </c>
      <c r="B75" s="325"/>
      <c r="C75" s="326"/>
      <c r="D75" s="327">
        <f>SUM(D69:D74)</f>
        <v>610</v>
      </c>
      <c r="E75" s="328"/>
      <c r="F75" s="341"/>
      <c r="G75" s="330"/>
      <c r="H75" s="331"/>
      <c r="I75" s="332"/>
      <c r="J75" s="332"/>
      <c r="K75" s="332"/>
      <c r="L75" s="325"/>
      <c r="M75" s="325"/>
      <c r="N75" s="325"/>
      <c r="O75" s="303"/>
      <c r="Y75" s="305"/>
      <c r="Z75" s="306"/>
    </row>
    <row r="76" spans="1:26" s="323" customFormat="1" ht="17.25" thickBot="1">
      <c r="A76" s="274" t="s">
        <v>1254</v>
      </c>
      <c r="B76" s="276"/>
      <c r="C76" s="276"/>
      <c r="D76" s="343">
        <f>SUM(D10,D20,D54,D59,D67,D75)</f>
        <v>6740</v>
      </c>
      <c r="E76" s="344"/>
      <c r="F76" s="345">
        <f>SUM(F4:F75)</f>
        <v>1101500</v>
      </c>
      <c r="G76" s="346"/>
      <c r="H76" s="346"/>
      <c r="I76" s="346"/>
      <c r="J76" s="346"/>
      <c r="K76" s="346"/>
      <c r="L76" s="346"/>
      <c r="M76" s="346"/>
      <c r="N76" s="346"/>
      <c r="O76" s="347"/>
      <c r="Y76" s="305"/>
      <c r="Z76" s="348"/>
    </row>
    <row r="78" spans="1:26">
      <c r="D78" s="349"/>
    </row>
  </sheetData>
  <mergeCells count="2">
    <mergeCell ref="A1:H1"/>
    <mergeCell ref="A2:H2"/>
  </mergeCells>
  <phoneticPr fontId="5" type="noConversion"/>
  <dataValidations xWindow="651" yWindow="600" count="6">
    <dataValidation type="list" allowBlank="1" showInputMessage="1" showErrorMessage="1" sqref="O69:O74 O61:O66 O56:O58 O5:O9 O22:O53 O12:O19">
      <formula1>BUSTYPE</formula1>
    </dataValidation>
    <dataValidation type="list" allowBlank="1" showInputMessage="1" showErrorMessage="1" sqref="C76">
      <formula1>RateCode</formula1>
    </dataValidation>
    <dataValidation type="list" allowBlank="1" showInputMessage="1" showErrorMessage="1" sqref="C69:C74 C56:C58 C61:C66 C12:C19 C22:C53">
      <formula1>$AC$3:$AC$9</formula1>
    </dataValidation>
    <dataValidation allowBlank="1" showInputMessage="1" showErrorMessage="1" prompt="8 hours per order - not Qantas." sqref="D22"/>
    <dataValidation allowBlank="1" showInputMessage="1" showErrorMessage="1" prompt="3 hours per server" sqref="D23"/>
    <dataValidation type="list" allowBlank="1" showInputMessage="1" showErrorMessage="1" sqref="C5:C9">
      <formula1>$AC$3:$AC$10</formula1>
    </dataValidation>
  </dataValidations>
  <hyperlinks>
    <hyperlink ref="C2" location="SUMMARY!A1" display="SUMMARY"/>
  </hyperlinks>
  <pageMargins left="0.75" right="0.75" top="1" bottom="1" header="0.5" footer="0.5"/>
  <pageSetup paperSize="9" orientation="portrait" r:id="rId1"/>
  <headerFooter alignWithMargins="0"/>
  <ignoredErrors>
    <ignoredError sqref="F76" unlockedFormula="1"/>
  </ignoredErrors>
</worksheet>
</file>

<file path=xl/worksheets/sheet6.xml><?xml version="1.0" encoding="utf-8"?>
<worksheet xmlns="http://schemas.openxmlformats.org/spreadsheetml/2006/main" xmlns:r="http://schemas.openxmlformats.org/officeDocument/2006/relationships">
  <sheetPr codeName="Sheet15"/>
  <dimension ref="A1:S205"/>
  <sheetViews>
    <sheetView topLeftCell="A133" workbookViewId="0">
      <selection activeCell="A135" sqref="A135:G138"/>
    </sheetView>
  </sheetViews>
  <sheetFormatPr defaultRowHeight="11.25"/>
  <cols>
    <col min="1" max="1" width="26.28515625" style="3" customWidth="1"/>
    <col min="2" max="2" width="14.7109375" style="10" customWidth="1"/>
    <col min="3" max="3" width="9.140625" style="13"/>
    <col min="4" max="5" width="10.7109375" style="3" customWidth="1"/>
    <col min="6" max="6" width="30.140625" style="10" bestFit="1" customWidth="1"/>
    <col min="7" max="7" width="13.7109375" style="3" customWidth="1"/>
    <col min="8" max="8" width="9.7109375" style="3" customWidth="1"/>
    <col min="9" max="15" width="6.5703125" style="3" bestFit="1" customWidth="1"/>
    <col min="16" max="16" width="9.5703125" style="3" bestFit="1" customWidth="1"/>
    <col min="17" max="16384" width="9.140625" style="3"/>
  </cols>
  <sheetData>
    <row r="1" spans="1:16" ht="12" thickBot="1">
      <c r="A1" s="15" t="s">
        <v>477</v>
      </c>
      <c r="B1" s="83" t="s">
        <v>1053</v>
      </c>
      <c r="C1" s="84"/>
      <c r="D1" s="84"/>
      <c r="E1" s="84"/>
      <c r="F1" s="85"/>
    </row>
    <row r="2" spans="1:16">
      <c r="A2" s="18" t="s">
        <v>74</v>
      </c>
      <c r="B2" s="16" t="s">
        <v>476</v>
      </c>
      <c r="C2" s="15" t="s">
        <v>342</v>
      </c>
      <c r="D2" s="15" t="s">
        <v>5</v>
      </c>
      <c r="E2" s="16" t="s">
        <v>566</v>
      </c>
      <c r="F2" s="16" t="s">
        <v>901</v>
      </c>
      <c r="G2" s="132" t="s">
        <v>193</v>
      </c>
      <c r="H2" s="132" t="s">
        <v>194</v>
      </c>
      <c r="I2" s="132" t="s">
        <v>195</v>
      </c>
      <c r="J2" s="132" t="s">
        <v>550</v>
      </c>
      <c r="K2" s="132" t="s">
        <v>551</v>
      </c>
      <c r="L2" s="132" t="s">
        <v>552</v>
      </c>
      <c r="M2" s="132" t="s">
        <v>553</v>
      </c>
      <c r="N2" s="132" t="s">
        <v>554</v>
      </c>
      <c r="O2" s="132" t="s">
        <v>555</v>
      </c>
      <c r="P2" s="140" t="s">
        <v>1069</v>
      </c>
    </row>
    <row r="3" spans="1:16">
      <c r="A3" s="62" t="s">
        <v>614</v>
      </c>
      <c r="B3" s="52" t="s">
        <v>1071</v>
      </c>
      <c r="C3" s="53">
        <f t="shared" ref="C3:C17" si="0">F3+MGR</f>
        <v>222.28</v>
      </c>
      <c r="D3" s="54">
        <f t="shared" ref="D3:D34" si="1">C3*E3</f>
        <v>342311.2</v>
      </c>
      <c r="E3" s="8">
        <v>1540</v>
      </c>
      <c r="F3" s="8">
        <v>217.03</v>
      </c>
      <c r="G3" s="133"/>
      <c r="H3" s="133"/>
      <c r="I3" s="133"/>
      <c r="J3" s="133"/>
      <c r="K3" s="133"/>
      <c r="L3" s="133"/>
      <c r="M3" s="133"/>
      <c r="N3" s="133"/>
      <c r="O3" s="133"/>
      <c r="P3" s="141" t="str">
        <f t="shared" ref="P3:P34" si="2">IF(SUM(G3:O3)=1,"","Not 100%!")</f>
        <v>Not 100%!</v>
      </c>
    </row>
    <row r="4" spans="1:16">
      <c r="A4" s="62" t="s">
        <v>719</v>
      </c>
      <c r="B4" s="52" t="s">
        <v>720</v>
      </c>
      <c r="C4" s="53">
        <f t="shared" si="0"/>
        <v>56.25</v>
      </c>
      <c r="D4" s="54">
        <f t="shared" si="1"/>
        <v>86793.75</v>
      </c>
      <c r="E4" s="8">
        <v>1543</v>
      </c>
      <c r="F4" s="8">
        <v>51</v>
      </c>
      <c r="G4" s="133"/>
      <c r="H4" s="133"/>
      <c r="I4" s="133"/>
      <c r="J4" s="133"/>
      <c r="K4" s="133"/>
      <c r="L4" s="133"/>
      <c r="M4" s="133"/>
      <c r="N4" s="133"/>
      <c r="O4" s="133"/>
      <c r="P4" s="141" t="str">
        <f t="shared" si="2"/>
        <v>Not 100%!</v>
      </c>
    </row>
    <row r="5" spans="1:16">
      <c r="A5" s="62" t="s">
        <v>726</v>
      </c>
      <c r="B5" s="52" t="s">
        <v>721</v>
      </c>
      <c r="C5" s="53">
        <f t="shared" si="0"/>
        <v>63.25</v>
      </c>
      <c r="D5" s="54">
        <f t="shared" si="1"/>
        <v>97594.75</v>
      </c>
      <c r="E5" s="8">
        <v>1543</v>
      </c>
      <c r="F5" s="8">
        <v>58</v>
      </c>
      <c r="G5" s="133"/>
      <c r="H5" s="133"/>
      <c r="I5" s="133"/>
      <c r="J5" s="133"/>
      <c r="K5" s="133"/>
      <c r="L5" s="133"/>
      <c r="M5" s="133"/>
      <c r="N5" s="133"/>
      <c r="O5" s="133"/>
      <c r="P5" s="141" t="str">
        <f t="shared" si="2"/>
        <v>Not 100%!</v>
      </c>
    </row>
    <row r="6" spans="1:16">
      <c r="A6" s="62" t="s">
        <v>727</v>
      </c>
      <c r="B6" s="52" t="s">
        <v>722</v>
      </c>
      <c r="C6" s="53">
        <f t="shared" si="0"/>
        <v>68.25</v>
      </c>
      <c r="D6" s="54">
        <f t="shared" si="1"/>
        <v>105309.75</v>
      </c>
      <c r="E6" s="8">
        <v>1543</v>
      </c>
      <c r="F6" s="8">
        <v>63</v>
      </c>
      <c r="G6" s="133"/>
      <c r="H6" s="133"/>
      <c r="I6" s="133"/>
      <c r="J6" s="133"/>
      <c r="K6" s="133"/>
      <c r="L6" s="133"/>
      <c r="M6" s="133"/>
      <c r="N6" s="133"/>
      <c r="O6" s="133"/>
      <c r="P6" s="141" t="str">
        <f t="shared" si="2"/>
        <v>Not 100%!</v>
      </c>
    </row>
    <row r="7" spans="1:16">
      <c r="A7" s="62" t="s">
        <v>728</v>
      </c>
      <c r="B7" s="52" t="s">
        <v>723</v>
      </c>
      <c r="C7" s="53">
        <f t="shared" si="0"/>
        <v>72.260000000000005</v>
      </c>
      <c r="D7" s="54">
        <f t="shared" si="1"/>
        <v>130429.3</v>
      </c>
      <c r="E7" s="8">
        <v>1805</v>
      </c>
      <c r="F7" s="8">
        <v>67.010000000000005</v>
      </c>
      <c r="G7" s="133"/>
      <c r="H7" s="133"/>
      <c r="I7" s="133"/>
      <c r="J7" s="133"/>
      <c r="K7" s="133"/>
      <c r="L7" s="133"/>
      <c r="M7" s="133"/>
      <c r="N7" s="133"/>
      <c r="O7" s="133"/>
      <c r="P7" s="141" t="str">
        <f t="shared" si="2"/>
        <v>Not 100%!</v>
      </c>
    </row>
    <row r="8" spans="1:16">
      <c r="A8" s="62" t="s">
        <v>729</v>
      </c>
      <c r="B8" s="52" t="s">
        <v>724</v>
      </c>
      <c r="C8" s="53">
        <f t="shared" si="0"/>
        <v>79.25</v>
      </c>
      <c r="D8" s="54">
        <f t="shared" si="1"/>
        <v>142729.25</v>
      </c>
      <c r="E8" s="8">
        <v>1801</v>
      </c>
      <c r="F8" s="8">
        <v>74</v>
      </c>
      <c r="G8" s="133"/>
      <c r="H8" s="133"/>
      <c r="I8" s="133"/>
      <c r="J8" s="133"/>
      <c r="K8" s="133"/>
      <c r="L8" s="133"/>
      <c r="M8" s="133"/>
      <c r="N8" s="133"/>
      <c r="O8" s="133"/>
      <c r="P8" s="141" t="str">
        <f t="shared" si="2"/>
        <v>Not 100%!</v>
      </c>
    </row>
    <row r="9" spans="1:16">
      <c r="A9" s="62" t="s">
        <v>612</v>
      </c>
      <c r="B9" s="52" t="s">
        <v>725</v>
      </c>
      <c r="C9" s="53">
        <f t="shared" si="0"/>
        <v>98.58</v>
      </c>
      <c r="D9" s="54">
        <f t="shared" si="1"/>
        <v>167093.1</v>
      </c>
      <c r="E9" s="8">
        <v>1695</v>
      </c>
      <c r="F9" s="8">
        <v>93.33</v>
      </c>
      <c r="G9" s="133"/>
      <c r="H9" s="133"/>
      <c r="I9" s="133"/>
      <c r="J9" s="133"/>
      <c r="K9" s="133"/>
      <c r="L9" s="133"/>
      <c r="M9" s="133"/>
      <c r="N9" s="133"/>
      <c r="O9" s="133"/>
      <c r="P9" s="141" t="str">
        <f t="shared" si="2"/>
        <v>Not 100%!</v>
      </c>
    </row>
    <row r="10" spans="1:16">
      <c r="A10" s="62" t="s">
        <v>613</v>
      </c>
      <c r="B10" s="52" t="s">
        <v>615</v>
      </c>
      <c r="C10" s="53">
        <f t="shared" si="0"/>
        <v>119.28</v>
      </c>
      <c r="D10" s="54">
        <f t="shared" si="1"/>
        <v>209813.52</v>
      </c>
      <c r="E10" s="8">
        <v>1759</v>
      </c>
      <c r="F10" s="8">
        <v>114.03</v>
      </c>
      <c r="G10" s="133"/>
      <c r="H10" s="133"/>
      <c r="I10" s="133"/>
      <c r="J10" s="133"/>
      <c r="K10" s="133"/>
      <c r="L10" s="133"/>
      <c r="M10" s="133"/>
      <c r="N10" s="133"/>
      <c r="O10" s="133"/>
      <c r="P10" s="141" t="str">
        <f t="shared" si="2"/>
        <v>Not 100%!</v>
      </c>
    </row>
    <row r="11" spans="1:16">
      <c r="A11" s="62" t="s">
        <v>1070</v>
      </c>
      <c r="B11" s="52" t="s">
        <v>616</v>
      </c>
      <c r="C11" s="53">
        <f t="shared" si="0"/>
        <v>167.29</v>
      </c>
      <c r="D11" s="54">
        <f t="shared" si="1"/>
        <v>275526.63</v>
      </c>
      <c r="E11" s="8">
        <v>1647</v>
      </c>
      <c r="F11" s="8">
        <v>162.04</v>
      </c>
      <c r="G11" s="133"/>
      <c r="H11" s="133"/>
      <c r="I11" s="133"/>
      <c r="J11" s="133"/>
      <c r="K11" s="133"/>
      <c r="L11" s="133"/>
      <c r="M11" s="133"/>
      <c r="N11" s="133"/>
      <c r="O11" s="133"/>
      <c r="P11" s="141" t="str">
        <f t="shared" si="2"/>
        <v>Not 100%!</v>
      </c>
    </row>
    <row r="12" spans="1:16">
      <c r="A12" s="51" t="s">
        <v>767</v>
      </c>
      <c r="B12" s="52" t="s">
        <v>216</v>
      </c>
      <c r="C12" s="53">
        <f t="shared" si="0"/>
        <v>44.25</v>
      </c>
      <c r="D12" s="54">
        <f t="shared" si="1"/>
        <v>87438</v>
      </c>
      <c r="E12" s="55">
        <v>1976</v>
      </c>
      <c r="F12" s="8">
        <v>39</v>
      </c>
      <c r="G12" s="133"/>
      <c r="H12" s="133"/>
      <c r="I12" s="133"/>
      <c r="J12" s="133"/>
      <c r="K12" s="133"/>
      <c r="L12" s="133"/>
      <c r="M12" s="133"/>
      <c r="N12" s="133"/>
      <c r="O12" s="133"/>
      <c r="P12" s="141" t="str">
        <f t="shared" si="2"/>
        <v>Not 100%!</v>
      </c>
    </row>
    <row r="13" spans="1:16">
      <c r="A13" s="51" t="s">
        <v>768</v>
      </c>
      <c r="B13" s="52" t="s">
        <v>217</v>
      </c>
      <c r="C13" s="53">
        <f t="shared" si="0"/>
        <v>47.25</v>
      </c>
      <c r="D13" s="54">
        <f t="shared" si="1"/>
        <v>88452</v>
      </c>
      <c r="E13" s="55">
        <v>1872</v>
      </c>
      <c r="F13" s="8">
        <v>42</v>
      </c>
      <c r="G13" s="133"/>
      <c r="H13" s="133"/>
      <c r="I13" s="133"/>
      <c r="J13" s="133"/>
      <c r="K13" s="133"/>
      <c r="L13" s="133"/>
      <c r="M13" s="133"/>
      <c r="N13" s="133"/>
      <c r="O13" s="133"/>
      <c r="P13" s="141" t="str">
        <f t="shared" si="2"/>
        <v>Not 100%!</v>
      </c>
    </row>
    <row r="14" spans="1:16">
      <c r="A14" s="51" t="s">
        <v>769</v>
      </c>
      <c r="B14" s="52" t="s">
        <v>215</v>
      </c>
      <c r="C14" s="53">
        <f t="shared" si="0"/>
        <v>49.25</v>
      </c>
      <c r="D14" s="54">
        <f t="shared" si="1"/>
        <v>87566.5</v>
      </c>
      <c r="E14" s="55">
        <v>1778</v>
      </c>
      <c r="F14" s="8">
        <v>44</v>
      </c>
      <c r="G14" s="133"/>
      <c r="H14" s="133"/>
      <c r="I14" s="133"/>
      <c r="J14" s="133"/>
      <c r="K14" s="133"/>
      <c r="L14" s="133"/>
      <c r="M14" s="133"/>
      <c r="N14" s="133"/>
      <c r="O14" s="133"/>
      <c r="P14" s="141" t="str">
        <f t="shared" si="2"/>
        <v>Not 100%!</v>
      </c>
    </row>
    <row r="15" spans="1:16">
      <c r="A15" s="51" t="s">
        <v>770</v>
      </c>
      <c r="B15" s="52" t="s">
        <v>218</v>
      </c>
      <c r="C15" s="53">
        <f t="shared" si="0"/>
        <v>52.25</v>
      </c>
      <c r="D15" s="54">
        <f t="shared" si="1"/>
        <v>92900.5</v>
      </c>
      <c r="E15" s="55">
        <v>1778</v>
      </c>
      <c r="F15" s="8">
        <v>47</v>
      </c>
      <c r="G15" s="133"/>
      <c r="H15" s="133"/>
      <c r="I15" s="133"/>
      <c r="J15" s="133"/>
      <c r="K15" s="133"/>
      <c r="L15" s="133"/>
      <c r="M15" s="133"/>
      <c r="N15" s="133"/>
      <c r="O15" s="133"/>
      <c r="P15" s="141" t="str">
        <f t="shared" si="2"/>
        <v>Not 100%!</v>
      </c>
    </row>
    <row r="16" spans="1:16">
      <c r="A16" s="51" t="s">
        <v>771</v>
      </c>
      <c r="B16" s="52" t="s">
        <v>219</v>
      </c>
      <c r="C16" s="53">
        <f t="shared" si="0"/>
        <v>52.25</v>
      </c>
      <c r="D16" s="54">
        <f t="shared" si="1"/>
        <v>92900.5</v>
      </c>
      <c r="E16" s="55">
        <v>1778</v>
      </c>
      <c r="F16" s="8">
        <v>47</v>
      </c>
      <c r="G16" s="133"/>
      <c r="H16" s="133"/>
      <c r="I16" s="133"/>
      <c r="J16" s="133"/>
      <c r="K16" s="133"/>
      <c r="L16" s="133"/>
      <c r="M16" s="133"/>
      <c r="N16" s="133"/>
      <c r="O16" s="133"/>
      <c r="P16" s="141" t="str">
        <f t="shared" si="2"/>
        <v>Not 100%!</v>
      </c>
    </row>
    <row r="17" spans="1:16">
      <c r="A17" s="51" t="s">
        <v>772</v>
      </c>
      <c r="B17" s="52" t="s">
        <v>220</v>
      </c>
      <c r="C17" s="53">
        <f t="shared" si="0"/>
        <v>64.25</v>
      </c>
      <c r="D17" s="54">
        <f t="shared" si="1"/>
        <v>114236.5</v>
      </c>
      <c r="E17" s="55">
        <v>1778</v>
      </c>
      <c r="F17" s="8">
        <v>59</v>
      </c>
      <c r="G17" s="133"/>
      <c r="H17" s="133"/>
      <c r="I17" s="133"/>
      <c r="J17" s="133"/>
      <c r="K17" s="133"/>
      <c r="L17" s="133"/>
      <c r="M17" s="133"/>
      <c r="N17" s="133"/>
      <c r="O17" s="133"/>
      <c r="P17" s="141" t="str">
        <f t="shared" si="2"/>
        <v>Not 100%!</v>
      </c>
    </row>
    <row r="18" spans="1:16">
      <c r="A18" s="142" t="s">
        <v>780</v>
      </c>
      <c r="B18" s="52" t="s">
        <v>214</v>
      </c>
      <c r="C18" s="53">
        <f t="shared" ref="C18:C26" si="3">F18+MGR</f>
        <v>31.25</v>
      </c>
      <c r="D18" s="54">
        <f t="shared" si="1"/>
        <v>55562.5</v>
      </c>
      <c r="E18" s="55">
        <v>1778</v>
      </c>
      <c r="F18" s="8">
        <f t="shared" ref="F18:F26" si="4">F45-OCC</f>
        <v>26</v>
      </c>
      <c r="G18" s="133">
        <v>1</v>
      </c>
      <c r="H18" s="133"/>
      <c r="I18" s="133"/>
      <c r="J18" s="133"/>
      <c r="K18" s="133"/>
      <c r="L18" s="133"/>
      <c r="M18" s="133"/>
      <c r="N18" s="133"/>
      <c r="O18" s="133"/>
      <c r="P18" s="141" t="str">
        <f t="shared" si="2"/>
        <v/>
      </c>
    </row>
    <row r="19" spans="1:16">
      <c r="A19" s="142" t="s">
        <v>781</v>
      </c>
      <c r="B19" s="52" t="s">
        <v>563</v>
      </c>
      <c r="C19" s="53">
        <f t="shared" si="3"/>
        <v>47.25</v>
      </c>
      <c r="D19" s="54">
        <f t="shared" si="1"/>
        <v>84010.5</v>
      </c>
      <c r="E19" s="55">
        <v>1778</v>
      </c>
      <c r="F19" s="8">
        <f t="shared" si="4"/>
        <v>42</v>
      </c>
      <c r="G19" s="133"/>
      <c r="H19" s="133">
        <v>1</v>
      </c>
      <c r="I19" s="133"/>
      <c r="J19" s="133"/>
      <c r="K19" s="133"/>
      <c r="L19" s="133"/>
      <c r="M19" s="133"/>
      <c r="N19" s="133"/>
      <c r="O19" s="133"/>
      <c r="P19" s="141" t="str">
        <f t="shared" si="2"/>
        <v/>
      </c>
    </row>
    <row r="20" spans="1:16">
      <c r="A20" s="142" t="s">
        <v>782</v>
      </c>
      <c r="B20" s="52" t="s">
        <v>564</v>
      </c>
      <c r="C20" s="53">
        <f t="shared" si="3"/>
        <v>58.25</v>
      </c>
      <c r="D20" s="54">
        <f t="shared" si="1"/>
        <v>103568.5</v>
      </c>
      <c r="E20" s="55">
        <v>1778</v>
      </c>
      <c r="F20" s="8">
        <f t="shared" si="4"/>
        <v>53</v>
      </c>
      <c r="G20" s="133"/>
      <c r="H20" s="133"/>
      <c r="I20" s="133">
        <v>1</v>
      </c>
      <c r="J20" s="133"/>
      <c r="K20" s="133"/>
      <c r="L20" s="133"/>
      <c r="M20" s="133"/>
      <c r="N20" s="133"/>
      <c r="O20" s="133"/>
      <c r="P20" s="141" t="str">
        <f t="shared" si="2"/>
        <v/>
      </c>
    </row>
    <row r="21" spans="1:16">
      <c r="A21" s="142" t="s">
        <v>783</v>
      </c>
      <c r="B21" s="52" t="s">
        <v>565</v>
      </c>
      <c r="C21" s="53">
        <f t="shared" si="3"/>
        <v>65.25</v>
      </c>
      <c r="D21" s="54">
        <f t="shared" si="1"/>
        <v>116014.5</v>
      </c>
      <c r="E21" s="55">
        <v>1778</v>
      </c>
      <c r="F21" s="8">
        <f t="shared" si="4"/>
        <v>60</v>
      </c>
      <c r="G21" s="133"/>
      <c r="H21" s="133"/>
      <c r="I21" s="133"/>
      <c r="J21" s="133">
        <v>1</v>
      </c>
      <c r="K21" s="133"/>
      <c r="L21" s="133"/>
      <c r="M21" s="133"/>
      <c r="N21" s="133"/>
      <c r="O21" s="133"/>
      <c r="P21" s="141" t="str">
        <f t="shared" si="2"/>
        <v/>
      </c>
    </row>
    <row r="22" spans="1:16">
      <c r="A22" s="142" t="s">
        <v>784</v>
      </c>
      <c r="B22" s="52" t="s">
        <v>352</v>
      </c>
      <c r="C22" s="53">
        <f t="shared" si="3"/>
        <v>65.25</v>
      </c>
      <c r="D22" s="54">
        <f t="shared" si="1"/>
        <v>116014.5</v>
      </c>
      <c r="E22" s="55">
        <v>1778</v>
      </c>
      <c r="F22" s="8">
        <f t="shared" si="4"/>
        <v>60</v>
      </c>
      <c r="G22" s="133"/>
      <c r="H22" s="133"/>
      <c r="I22" s="133"/>
      <c r="J22" s="133"/>
      <c r="K22" s="133">
        <v>1</v>
      </c>
      <c r="L22" s="133"/>
      <c r="M22" s="133"/>
      <c r="N22" s="133"/>
      <c r="O22" s="133"/>
      <c r="P22" s="141" t="str">
        <f t="shared" si="2"/>
        <v/>
      </c>
    </row>
    <row r="23" spans="1:16">
      <c r="A23" s="142" t="s">
        <v>785</v>
      </c>
      <c r="B23" s="52" t="s">
        <v>963</v>
      </c>
      <c r="C23" s="53">
        <f t="shared" si="3"/>
        <v>83.25</v>
      </c>
      <c r="D23" s="54">
        <f t="shared" si="1"/>
        <v>148018.5</v>
      </c>
      <c r="E23" s="55">
        <v>1778</v>
      </c>
      <c r="F23" s="8">
        <f t="shared" si="4"/>
        <v>78</v>
      </c>
      <c r="G23" s="133"/>
      <c r="H23" s="133"/>
      <c r="I23" s="133"/>
      <c r="J23" s="133"/>
      <c r="K23" s="133"/>
      <c r="L23" s="133">
        <v>1</v>
      </c>
      <c r="M23" s="133"/>
      <c r="N23" s="133"/>
      <c r="O23" s="133"/>
      <c r="P23" s="141" t="str">
        <f t="shared" si="2"/>
        <v/>
      </c>
    </row>
    <row r="24" spans="1:16">
      <c r="A24" s="142" t="s">
        <v>786</v>
      </c>
      <c r="B24" s="52" t="s">
        <v>758</v>
      </c>
      <c r="C24" s="53">
        <f t="shared" si="3"/>
        <v>106.25</v>
      </c>
      <c r="D24" s="54">
        <f t="shared" si="1"/>
        <v>188912.5</v>
      </c>
      <c r="E24" s="55">
        <v>1778</v>
      </c>
      <c r="F24" s="8">
        <f t="shared" si="4"/>
        <v>101</v>
      </c>
      <c r="G24" s="133"/>
      <c r="H24" s="133"/>
      <c r="I24" s="133"/>
      <c r="J24" s="133"/>
      <c r="K24" s="133"/>
      <c r="L24" s="133"/>
      <c r="M24" s="133">
        <v>1</v>
      </c>
      <c r="N24" s="133"/>
      <c r="O24" s="133"/>
      <c r="P24" s="141" t="str">
        <f t="shared" si="2"/>
        <v/>
      </c>
    </row>
    <row r="25" spans="1:16">
      <c r="A25" s="142" t="s">
        <v>787</v>
      </c>
      <c r="B25" s="52" t="s">
        <v>268</v>
      </c>
      <c r="C25" s="53">
        <f t="shared" si="3"/>
        <v>139.25</v>
      </c>
      <c r="D25" s="54">
        <f t="shared" si="1"/>
        <v>247586.5</v>
      </c>
      <c r="E25" s="55">
        <v>1778</v>
      </c>
      <c r="F25" s="8">
        <f t="shared" si="4"/>
        <v>134</v>
      </c>
      <c r="G25" s="133"/>
      <c r="H25" s="133"/>
      <c r="I25" s="133"/>
      <c r="J25" s="133"/>
      <c r="K25" s="133"/>
      <c r="L25" s="133"/>
      <c r="M25" s="133"/>
      <c r="N25" s="133">
        <v>1</v>
      </c>
      <c r="O25" s="133"/>
      <c r="P25" s="141" t="str">
        <f t="shared" si="2"/>
        <v/>
      </c>
    </row>
    <row r="26" spans="1:16" s="12" customFormat="1">
      <c r="A26" s="142" t="s">
        <v>788</v>
      </c>
      <c r="B26" s="52" t="s">
        <v>192</v>
      </c>
      <c r="C26" s="53">
        <f t="shared" si="3"/>
        <v>196.25</v>
      </c>
      <c r="D26" s="54">
        <f t="shared" si="1"/>
        <v>348932.5</v>
      </c>
      <c r="E26" s="55">
        <v>1778</v>
      </c>
      <c r="F26" s="8">
        <f t="shared" si="4"/>
        <v>191</v>
      </c>
      <c r="G26" s="133"/>
      <c r="H26" s="133"/>
      <c r="I26" s="133"/>
      <c r="J26" s="133"/>
      <c r="K26" s="133"/>
      <c r="L26" s="133"/>
      <c r="M26" s="133"/>
      <c r="N26" s="133"/>
      <c r="O26" s="133">
        <v>1</v>
      </c>
      <c r="P26" s="141" t="str">
        <f t="shared" si="2"/>
        <v/>
      </c>
    </row>
    <row r="27" spans="1:16" s="9" customFormat="1">
      <c r="A27" s="139" t="s">
        <v>618</v>
      </c>
      <c r="B27" s="136" t="s">
        <v>617</v>
      </c>
      <c r="C27" s="137">
        <f t="shared" ref="C27:C44" si="5">F27</f>
        <v>22.5</v>
      </c>
      <c r="D27" s="138">
        <f t="shared" si="1"/>
        <v>43830</v>
      </c>
      <c r="E27" s="55">
        <v>1948</v>
      </c>
      <c r="F27" s="8">
        <v>22.5</v>
      </c>
      <c r="G27" s="133"/>
      <c r="H27" s="133"/>
      <c r="I27" s="133"/>
      <c r="J27" s="133"/>
      <c r="K27" s="133"/>
      <c r="L27" s="133"/>
      <c r="M27" s="133"/>
      <c r="N27" s="133"/>
      <c r="O27" s="133"/>
      <c r="P27" s="141" t="str">
        <f t="shared" si="2"/>
        <v>Not 100%!</v>
      </c>
    </row>
    <row r="28" spans="1:16" s="9" customFormat="1">
      <c r="A28" s="139" t="s">
        <v>619</v>
      </c>
      <c r="B28" s="136" t="s">
        <v>620</v>
      </c>
      <c r="C28" s="137">
        <f t="shared" si="5"/>
        <v>24.1</v>
      </c>
      <c r="D28" s="138">
        <f t="shared" si="1"/>
        <v>46946.8</v>
      </c>
      <c r="E28" s="55">
        <v>1948</v>
      </c>
      <c r="F28" s="8">
        <v>24.1</v>
      </c>
      <c r="G28" s="133"/>
      <c r="H28" s="133"/>
      <c r="I28" s="133"/>
      <c r="J28" s="133"/>
      <c r="K28" s="133"/>
      <c r="L28" s="133"/>
      <c r="M28" s="133"/>
      <c r="N28" s="133"/>
      <c r="O28" s="133"/>
      <c r="P28" s="141" t="str">
        <f t="shared" si="2"/>
        <v>Not 100%!</v>
      </c>
    </row>
    <row r="29" spans="1:16" s="9" customFormat="1">
      <c r="A29" s="139" t="s">
        <v>621</v>
      </c>
      <c r="B29" s="136" t="s">
        <v>623</v>
      </c>
      <c r="C29" s="137">
        <f t="shared" si="5"/>
        <v>26.1</v>
      </c>
      <c r="D29" s="138">
        <f t="shared" si="1"/>
        <v>50842.8</v>
      </c>
      <c r="E29" s="55">
        <v>1948</v>
      </c>
      <c r="F29" s="8">
        <v>26.1</v>
      </c>
      <c r="G29" s="133"/>
      <c r="H29" s="133"/>
      <c r="I29" s="133"/>
      <c r="J29" s="133"/>
      <c r="K29" s="133"/>
      <c r="L29" s="133"/>
      <c r="M29" s="133"/>
      <c r="N29" s="133"/>
      <c r="O29" s="133"/>
      <c r="P29" s="141" t="str">
        <f t="shared" si="2"/>
        <v>Not 100%!</v>
      </c>
    </row>
    <row r="30" spans="1:16" s="9" customFormat="1">
      <c r="A30" s="139" t="s">
        <v>622</v>
      </c>
      <c r="B30" s="136" t="s">
        <v>624</v>
      </c>
      <c r="C30" s="137">
        <f t="shared" si="5"/>
        <v>30</v>
      </c>
      <c r="D30" s="138">
        <f t="shared" si="1"/>
        <v>58440</v>
      </c>
      <c r="E30" s="55">
        <v>1948</v>
      </c>
      <c r="F30" s="8">
        <v>30</v>
      </c>
      <c r="G30" s="133"/>
      <c r="H30" s="133"/>
      <c r="I30" s="133"/>
      <c r="J30" s="133"/>
      <c r="K30" s="133"/>
      <c r="L30" s="133"/>
      <c r="M30" s="133"/>
      <c r="N30" s="133"/>
      <c r="O30" s="133"/>
      <c r="P30" s="141" t="str">
        <f t="shared" si="2"/>
        <v>Not 100%!</v>
      </c>
    </row>
    <row r="31" spans="1:16" s="9" customFormat="1">
      <c r="A31" s="139" t="s">
        <v>625</v>
      </c>
      <c r="B31" s="136" t="s">
        <v>627</v>
      </c>
      <c r="C31" s="137">
        <f t="shared" si="5"/>
        <v>41.9</v>
      </c>
      <c r="D31" s="138">
        <f t="shared" si="1"/>
        <v>81621.2</v>
      </c>
      <c r="E31" s="55">
        <v>1948</v>
      </c>
      <c r="F31" s="8">
        <v>41.9</v>
      </c>
      <c r="G31" s="133"/>
      <c r="H31" s="133"/>
      <c r="I31" s="133"/>
      <c r="J31" s="133"/>
      <c r="K31" s="133"/>
      <c r="L31" s="133"/>
      <c r="M31" s="133"/>
      <c r="N31" s="133"/>
      <c r="O31" s="133"/>
      <c r="P31" s="141" t="str">
        <f t="shared" si="2"/>
        <v>Not 100%!</v>
      </c>
    </row>
    <row r="32" spans="1:16" s="9" customFormat="1">
      <c r="A32" s="139" t="s">
        <v>626</v>
      </c>
      <c r="B32" s="136" t="s">
        <v>628</v>
      </c>
      <c r="C32" s="137">
        <f t="shared" si="5"/>
        <v>63.1</v>
      </c>
      <c r="D32" s="138">
        <f t="shared" si="1"/>
        <v>122918.8</v>
      </c>
      <c r="E32" s="55">
        <v>1948</v>
      </c>
      <c r="F32" s="8">
        <v>63.1</v>
      </c>
      <c r="G32" s="133"/>
      <c r="H32" s="133"/>
      <c r="I32" s="133"/>
      <c r="J32" s="133"/>
      <c r="K32" s="133"/>
      <c r="L32" s="133"/>
      <c r="M32" s="133"/>
      <c r="N32" s="133"/>
      <c r="O32" s="133"/>
      <c r="P32" s="141" t="str">
        <f t="shared" si="2"/>
        <v>Not 100%!</v>
      </c>
    </row>
    <row r="33" spans="1:19" s="9" customFormat="1">
      <c r="A33" s="139" t="s">
        <v>629</v>
      </c>
      <c r="B33" s="136" t="s">
        <v>630</v>
      </c>
      <c r="C33" s="137">
        <f t="shared" si="5"/>
        <v>14.8</v>
      </c>
      <c r="D33" s="138">
        <f t="shared" si="1"/>
        <v>29008</v>
      </c>
      <c r="E33" s="55">
        <v>1960</v>
      </c>
      <c r="F33" s="8">
        <v>14.8</v>
      </c>
      <c r="G33" s="133"/>
      <c r="H33" s="133"/>
      <c r="I33" s="133"/>
      <c r="J33" s="133"/>
      <c r="K33" s="133"/>
      <c r="L33" s="133"/>
      <c r="M33" s="133"/>
      <c r="N33" s="133"/>
      <c r="O33" s="133"/>
      <c r="P33" s="141" t="str">
        <f t="shared" si="2"/>
        <v>Not 100%!</v>
      </c>
    </row>
    <row r="34" spans="1:19" s="9" customFormat="1">
      <c r="A34" s="139" t="s">
        <v>631</v>
      </c>
      <c r="B34" s="136" t="s">
        <v>632</v>
      </c>
      <c r="C34" s="137">
        <f t="shared" si="5"/>
        <v>14.8</v>
      </c>
      <c r="D34" s="138">
        <f t="shared" si="1"/>
        <v>29008</v>
      </c>
      <c r="E34" s="55">
        <v>1960</v>
      </c>
      <c r="F34" s="8">
        <v>14.8</v>
      </c>
      <c r="G34" s="133"/>
      <c r="H34" s="133"/>
      <c r="I34" s="133"/>
      <c r="J34" s="133"/>
      <c r="K34" s="133"/>
      <c r="L34" s="133"/>
      <c r="M34" s="133"/>
      <c r="N34" s="133"/>
      <c r="O34" s="133"/>
      <c r="P34" s="141" t="str">
        <f t="shared" si="2"/>
        <v>Not 100%!</v>
      </c>
    </row>
    <row r="35" spans="1:19" s="9" customFormat="1" ht="12.75">
      <c r="A35" s="139" t="s">
        <v>633</v>
      </c>
      <c r="B35" s="136" t="s">
        <v>634</v>
      </c>
      <c r="C35" s="137">
        <f t="shared" si="5"/>
        <v>17.8</v>
      </c>
      <c r="D35" s="138">
        <f t="shared" ref="D35:D53" si="6">C35*E35</f>
        <v>34888</v>
      </c>
      <c r="E35" s="55">
        <v>1960</v>
      </c>
      <c r="F35" s="8">
        <v>17.8</v>
      </c>
      <c r="G35" s="133"/>
      <c r="H35" s="133"/>
      <c r="I35" s="133"/>
      <c r="J35" s="133"/>
      <c r="K35" s="133"/>
      <c r="L35" s="133"/>
      <c r="M35" s="133"/>
      <c r="N35" s="133"/>
      <c r="O35" s="133"/>
      <c r="P35" s="141" t="str">
        <f t="shared" ref="P35:P66" si="7">IF(SUM(G35:O35)=1,"","Not 100%!")</f>
        <v>Not 100%!</v>
      </c>
      <c r="R35" s="9" t="s">
        <v>221</v>
      </c>
      <c r="S35" s="143" t="s">
        <v>222</v>
      </c>
    </row>
    <row r="36" spans="1:19" s="9" customFormat="1">
      <c r="A36" s="139" t="s">
        <v>635</v>
      </c>
      <c r="B36" s="136" t="s">
        <v>636</v>
      </c>
      <c r="C36" s="137">
        <f t="shared" si="5"/>
        <v>23.2</v>
      </c>
      <c r="D36" s="138">
        <f t="shared" si="6"/>
        <v>45472</v>
      </c>
      <c r="E36" s="55">
        <v>1960</v>
      </c>
      <c r="F36" s="8">
        <v>23.2</v>
      </c>
      <c r="G36" s="133"/>
      <c r="H36" s="133"/>
      <c r="I36" s="133"/>
      <c r="J36" s="133"/>
      <c r="K36" s="133"/>
      <c r="L36" s="133"/>
      <c r="M36" s="133"/>
      <c r="N36" s="133"/>
      <c r="O36" s="133"/>
      <c r="P36" s="141" t="str">
        <f t="shared" si="7"/>
        <v>Not 100%!</v>
      </c>
    </row>
    <row r="37" spans="1:19" s="9" customFormat="1">
      <c r="A37" s="139" t="s">
        <v>637</v>
      </c>
      <c r="B37" s="136" t="s">
        <v>638</v>
      </c>
      <c r="C37" s="137">
        <f t="shared" si="5"/>
        <v>31.9</v>
      </c>
      <c r="D37" s="138">
        <f t="shared" si="6"/>
        <v>62524</v>
      </c>
      <c r="E37" s="55">
        <v>1960</v>
      </c>
      <c r="F37" s="8">
        <v>31.9</v>
      </c>
      <c r="G37" s="133"/>
      <c r="H37" s="133"/>
      <c r="I37" s="133"/>
      <c r="J37" s="133"/>
      <c r="K37" s="133"/>
      <c r="L37" s="133"/>
      <c r="M37" s="133"/>
      <c r="N37" s="133"/>
      <c r="O37" s="133"/>
      <c r="P37" s="141" t="str">
        <f t="shared" si="7"/>
        <v>Not 100%!</v>
      </c>
    </row>
    <row r="38" spans="1:19" s="9" customFormat="1">
      <c r="A38" s="139" t="s">
        <v>639</v>
      </c>
      <c r="B38" s="136" t="s">
        <v>640</v>
      </c>
      <c r="C38" s="137">
        <f t="shared" si="5"/>
        <v>48</v>
      </c>
      <c r="D38" s="138">
        <f t="shared" si="6"/>
        <v>94080</v>
      </c>
      <c r="E38" s="55">
        <v>1960</v>
      </c>
      <c r="F38" s="8">
        <v>48</v>
      </c>
      <c r="G38" s="133"/>
      <c r="H38" s="133"/>
      <c r="I38" s="133"/>
      <c r="J38" s="133"/>
      <c r="K38" s="133"/>
      <c r="L38" s="133"/>
      <c r="M38" s="133"/>
      <c r="N38" s="133"/>
      <c r="O38" s="133"/>
      <c r="P38" s="141" t="str">
        <f t="shared" si="7"/>
        <v>Not 100%!</v>
      </c>
    </row>
    <row r="39" spans="1:19" s="9" customFormat="1">
      <c r="A39" s="139" t="s">
        <v>641</v>
      </c>
      <c r="B39" s="136" t="s">
        <v>642</v>
      </c>
      <c r="C39" s="137">
        <f t="shared" si="5"/>
        <v>58.7</v>
      </c>
      <c r="D39" s="138">
        <f t="shared" si="6"/>
        <v>115052</v>
      </c>
      <c r="E39" s="55">
        <v>1960</v>
      </c>
      <c r="F39" s="8">
        <v>58.7</v>
      </c>
      <c r="G39" s="133"/>
      <c r="H39" s="133"/>
      <c r="I39" s="133"/>
      <c r="J39" s="133"/>
      <c r="K39" s="133"/>
      <c r="L39" s="133"/>
      <c r="M39" s="133"/>
      <c r="N39" s="133"/>
      <c r="O39" s="133"/>
      <c r="P39" s="141" t="str">
        <f t="shared" si="7"/>
        <v>Not 100%!</v>
      </c>
    </row>
    <row r="40" spans="1:19" s="9" customFormat="1">
      <c r="A40" s="139" t="s">
        <v>643</v>
      </c>
      <c r="B40" s="136" t="s">
        <v>644</v>
      </c>
      <c r="C40" s="137">
        <f t="shared" si="5"/>
        <v>25.9</v>
      </c>
      <c r="D40" s="138">
        <f t="shared" si="6"/>
        <v>50764</v>
      </c>
      <c r="E40" s="55">
        <v>1960</v>
      </c>
      <c r="F40" s="8">
        <v>25.9</v>
      </c>
      <c r="G40" s="133"/>
      <c r="H40" s="133"/>
      <c r="I40" s="133"/>
      <c r="J40" s="133"/>
      <c r="K40" s="133"/>
      <c r="L40" s="133"/>
      <c r="M40" s="133"/>
      <c r="N40" s="133"/>
      <c r="O40" s="133"/>
      <c r="P40" s="141" t="str">
        <f t="shared" si="7"/>
        <v>Not 100%!</v>
      </c>
    </row>
    <row r="41" spans="1:19" s="9" customFormat="1">
      <c r="A41" s="139" t="s">
        <v>645</v>
      </c>
      <c r="B41" s="136" t="s">
        <v>646</v>
      </c>
      <c r="C41" s="137">
        <f t="shared" si="5"/>
        <v>31.4</v>
      </c>
      <c r="D41" s="138">
        <f t="shared" si="6"/>
        <v>61544</v>
      </c>
      <c r="E41" s="55">
        <v>1960</v>
      </c>
      <c r="F41" s="8">
        <v>31.4</v>
      </c>
      <c r="G41" s="133"/>
      <c r="H41" s="133"/>
      <c r="I41" s="133"/>
      <c r="J41" s="133"/>
      <c r="K41" s="133"/>
      <c r="L41" s="133"/>
      <c r="M41" s="133"/>
      <c r="N41" s="133"/>
      <c r="O41" s="133"/>
      <c r="P41" s="141" t="str">
        <f t="shared" si="7"/>
        <v>Not 100%!</v>
      </c>
    </row>
    <row r="42" spans="1:19" s="9" customFormat="1">
      <c r="A42" s="139" t="s">
        <v>647</v>
      </c>
      <c r="B42" s="136" t="s">
        <v>648</v>
      </c>
      <c r="C42" s="137">
        <f t="shared" si="5"/>
        <v>31.8</v>
      </c>
      <c r="D42" s="138">
        <f t="shared" si="6"/>
        <v>62328</v>
      </c>
      <c r="E42" s="55">
        <v>1960</v>
      </c>
      <c r="F42" s="8">
        <v>31.8</v>
      </c>
      <c r="G42" s="133"/>
      <c r="H42" s="133"/>
      <c r="I42" s="133"/>
      <c r="J42" s="133"/>
      <c r="K42" s="133"/>
      <c r="L42" s="133"/>
      <c r="M42" s="133"/>
      <c r="N42" s="133"/>
      <c r="O42" s="133"/>
      <c r="P42" s="141" t="str">
        <f t="shared" si="7"/>
        <v>Not 100%!</v>
      </c>
    </row>
    <row r="43" spans="1:19" s="9" customFormat="1">
      <c r="A43" s="139" t="s">
        <v>649</v>
      </c>
      <c r="B43" s="136" t="s">
        <v>650</v>
      </c>
      <c r="C43" s="137">
        <f t="shared" si="5"/>
        <v>37.6</v>
      </c>
      <c r="D43" s="138">
        <f t="shared" si="6"/>
        <v>73696</v>
      </c>
      <c r="E43" s="55">
        <v>1960</v>
      </c>
      <c r="F43" s="8">
        <v>37.6</v>
      </c>
      <c r="G43" s="133"/>
      <c r="H43" s="133"/>
      <c r="I43" s="133"/>
      <c r="J43" s="133"/>
      <c r="K43" s="133"/>
      <c r="L43" s="133"/>
      <c r="M43" s="133"/>
      <c r="N43" s="133"/>
      <c r="O43" s="133"/>
      <c r="P43" s="141" t="str">
        <f t="shared" si="7"/>
        <v>Not 100%!</v>
      </c>
    </row>
    <row r="44" spans="1:19" s="9" customFormat="1">
      <c r="A44" s="139" t="s">
        <v>651</v>
      </c>
      <c r="B44" s="136" t="s">
        <v>652</v>
      </c>
      <c r="C44" s="137">
        <f t="shared" si="5"/>
        <v>53.3</v>
      </c>
      <c r="D44" s="138">
        <f t="shared" si="6"/>
        <v>104468</v>
      </c>
      <c r="E44" s="55">
        <v>1960</v>
      </c>
      <c r="F44" s="8">
        <v>53.3</v>
      </c>
      <c r="G44" s="133"/>
      <c r="H44" s="133"/>
      <c r="I44" s="133"/>
      <c r="J44" s="133"/>
      <c r="K44" s="133"/>
      <c r="L44" s="133"/>
      <c r="M44" s="133"/>
      <c r="N44" s="133"/>
      <c r="O44" s="133"/>
      <c r="P44" s="141" t="str">
        <f t="shared" si="7"/>
        <v>Not 100%!</v>
      </c>
    </row>
    <row r="45" spans="1:19" s="9" customFormat="1">
      <c r="A45" s="142" t="s">
        <v>812</v>
      </c>
      <c r="B45" s="19" t="s">
        <v>193</v>
      </c>
      <c r="C45" s="53">
        <f t="shared" ref="C45:C53" si="8">F45+MGR</f>
        <v>35.25</v>
      </c>
      <c r="D45" s="54">
        <f t="shared" si="6"/>
        <v>62674.5</v>
      </c>
      <c r="E45" s="55">
        <v>1778</v>
      </c>
      <c r="F45" s="8">
        <v>30</v>
      </c>
      <c r="G45" s="133">
        <v>1</v>
      </c>
      <c r="H45" s="133"/>
      <c r="I45" s="133"/>
      <c r="J45" s="133"/>
      <c r="K45" s="133"/>
      <c r="L45" s="133"/>
      <c r="M45" s="133"/>
      <c r="N45" s="133"/>
      <c r="O45" s="133"/>
      <c r="P45" s="141" t="str">
        <f t="shared" si="7"/>
        <v/>
      </c>
    </row>
    <row r="46" spans="1:19" s="9" customFormat="1">
      <c r="A46" s="142" t="s">
        <v>813</v>
      </c>
      <c r="B46" s="19" t="s">
        <v>194</v>
      </c>
      <c r="C46" s="53">
        <f t="shared" si="8"/>
        <v>51.25</v>
      </c>
      <c r="D46" s="54">
        <f t="shared" si="6"/>
        <v>91122.5</v>
      </c>
      <c r="E46" s="55">
        <v>1778</v>
      </c>
      <c r="F46" s="8">
        <v>46</v>
      </c>
      <c r="G46" s="133"/>
      <c r="H46" s="133">
        <v>1</v>
      </c>
      <c r="I46" s="133"/>
      <c r="J46" s="133"/>
      <c r="K46" s="133"/>
      <c r="L46" s="133"/>
      <c r="M46" s="133"/>
      <c r="N46" s="133"/>
      <c r="O46" s="133"/>
      <c r="P46" s="141" t="str">
        <f t="shared" si="7"/>
        <v/>
      </c>
    </row>
    <row r="47" spans="1:19" s="9" customFormat="1">
      <c r="A47" s="142" t="s">
        <v>712</v>
      </c>
      <c r="B47" s="19" t="s">
        <v>195</v>
      </c>
      <c r="C47" s="53">
        <f t="shared" si="8"/>
        <v>62.25</v>
      </c>
      <c r="D47" s="54">
        <f t="shared" si="6"/>
        <v>110680.5</v>
      </c>
      <c r="E47" s="55">
        <v>1778</v>
      </c>
      <c r="F47" s="8">
        <v>57</v>
      </c>
      <c r="G47" s="133"/>
      <c r="H47" s="133"/>
      <c r="I47" s="133">
        <v>1</v>
      </c>
      <c r="J47" s="133"/>
      <c r="K47" s="133"/>
      <c r="L47" s="133"/>
      <c r="M47" s="133"/>
      <c r="N47" s="133"/>
      <c r="O47" s="133"/>
      <c r="P47" s="141" t="str">
        <f t="shared" si="7"/>
        <v/>
      </c>
    </row>
    <row r="48" spans="1:19" s="9" customFormat="1">
      <c r="A48" s="142" t="s">
        <v>713</v>
      </c>
      <c r="B48" s="19" t="s">
        <v>550</v>
      </c>
      <c r="C48" s="53">
        <f t="shared" si="8"/>
        <v>69.25</v>
      </c>
      <c r="D48" s="54">
        <f t="shared" si="6"/>
        <v>123126.5</v>
      </c>
      <c r="E48" s="55">
        <v>1778</v>
      </c>
      <c r="F48" s="8">
        <v>64</v>
      </c>
      <c r="G48" s="133"/>
      <c r="H48" s="133"/>
      <c r="I48" s="133"/>
      <c r="J48" s="133">
        <v>1</v>
      </c>
      <c r="K48" s="133"/>
      <c r="L48" s="133"/>
      <c r="M48" s="133"/>
      <c r="N48" s="133"/>
      <c r="O48" s="133"/>
      <c r="P48" s="141" t="str">
        <f t="shared" si="7"/>
        <v/>
      </c>
    </row>
    <row r="49" spans="1:17" s="9" customFormat="1">
      <c r="A49" s="142" t="s">
        <v>714</v>
      </c>
      <c r="B49" s="19" t="s">
        <v>551</v>
      </c>
      <c r="C49" s="53">
        <f t="shared" si="8"/>
        <v>69.25</v>
      </c>
      <c r="D49" s="54">
        <f t="shared" si="6"/>
        <v>123126.5</v>
      </c>
      <c r="E49" s="55">
        <v>1778</v>
      </c>
      <c r="F49" s="8">
        <v>64</v>
      </c>
      <c r="G49" s="133"/>
      <c r="H49" s="133"/>
      <c r="I49" s="133"/>
      <c r="J49" s="133"/>
      <c r="K49" s="133">
        <v>1</v>
      </c>
      <c r="L49" s="133"/>
      <c r="M49" s="133"/>
      <c r="N49" s="133"/>
      <c r="O49" s="133"/>
      <c r="P49" s="141" t="str">
        <f t="shared" si="7"/>
        <v/>
      </c>
    </row>
    <row r="50" spans="1:17" s="9" customFormat="1">
      <c r="A50" s="142" t="s">
        <v>715</v>
      </c>
      <c r="B50" s="19" t="s">
        <v>552</v>
      </c>
      <c r="C50" s="53">
        <f t="shared" si="8"/>
        <v>87.25</v>
      </c>
      <c r="D50" s="54">
        <f t="shared" si="6"/>
        <v>155130.5</v>
      </c>
      <c r="E50" s="55">
        <v>1778</v>
      </c>
      <c r="F50" s="8">
        <v>82</v>
      </c>
      <c r="G50" s="133"/>
      <c r="H50" s="133"/>
      <c r="I50" s="133"/>
      <c r="J50" s="133"/>
      <c r="K50" s="133"/>
      <c r="L50" s="133">
        <v>1</v>
      </c>
      <c r="M50" s="133"/>
      <c r="N50" s="133"/>
      <c r="O50" s="133"/>
      <c r="P50" s="141" t="str">
        <f t="shared" si="7"/>
        <v/>
      </c>
    </row>
    <row r="51" spans="1:17" s="9" customFormat="1">
      <c r="A51" s="142" t="s">
        <v>716</v>
      </c>
      <c r="B51" s="19" t="s">
        <v>553</v>
      </c>
      <c r="C51" s="53">
        <f t="shared" si="8"/>
        <v>110.25</v>
      </c>
      <c r="D51" s="54">
        <f t="shared" si="6"/>
        <v>196024.5</v>
      </c>
      <c r="E51" s="55">
        <v>1778</v>
      </c>
      <c r="F51" s="8">
        <v>105</v>
      </c>
      <c r="G51" s="133"/>
      <c r="H51" s="133"/>
      <c r="I51" s="133"/>
      <c r="J51" s="133"/>
      <c r="K51" s="133"/>
      <c r="L51" s="133"/>
      <c r="M51" s="133">
        <v>1</v>
      </c>
      <c r="N51" s="133"/>
      <c r="O51" s="133"/>
      <c r="P51" s="141" t="str">
        <f t="shared" si="7"/>
        <v/>
      </c>
    </row>
    <row r="52" spans="1:17" s="9" customFormat="1">
      <c r="A52" s="142" t="s">
        <v>717</v>
      </c>
      <c r="B52" s="19" t="s">
        <v>554</v>
      </c>
      <c r="C52" s="53">
        <f t="shared" si="8"/>
        <v>143.25</v>
      </c>
      <c r="D52" s="54">
        <f t="shared" si="6"/>
        <v>254698.5</v>
      </c>
      <c r="E52" s="55">
        <v>1778</v>
      </c>
      <c r="F52" s="8">
        <v>138</v>
      </c>
      <c r="G52" s="133"/>
      <c r="H52" s="133"/>
      <c r="I52" s="133"/>
      <c r="J52" s="133"/>
      <c r="K52" s="133"/>
      <c r="L52" s="133"/>
      <c r="M52" s="133"/>
      <c r="N52" s="133">
        <v>1</v>
      </c>
      <c r="O52" s="133"/>
      <c r="P52" s="141" t="str">
        <f t="shared" si="7"/>
        <v/>
      </c>
    </row>
    <row r="53" spans="1:17" s="9" customFormat="1">
      <c r="A53" s="142" t="s">
        <v>718</v>
      </c>
      <c r="B53" s="19" t="s">
        <v>555</v>
      </c>
      <c r="C53" s="53">
        <f t="shared" si="8"/>
        <v>200.25</v>
      </c>
      <c r="D53" s="54">
        <f t="shared" si="6"/>
        <v>356044.5</v>
      </c>
      <c r="E53" s="55">
        <v>1778</v>
      </c>
      <c r="F53" s="8">
        <v>195</v>
      </c>
      <c r="G53" s="133"/>
      <c r="H53" s="133"/>
      <c r="I53" s="133"/>
      <c r="J53" s="133"/>
      <c r="K53" s="133"/>
      <c r="L53" s="133"/>
      <c r="M53" s="133"/>
      <c r="N53" s="133"/>
      <c r="O53" s="133">
        <v>1</v>
      </c>
      <c r="P53" s="141" t="str">
        <f t="shared" si="7"/>
        <v/>
      </c>
    </row>
    <row r="54" spans="1:17" s="9" customFormat="1">
      <c r="A54" s="56" t="s">
        <v>977</v>
      </c>
      <c r="B54" s="50" t="s">
        <v>4</v>
      </c>
      <c r="C54" s="78">
        <f t="shared" ref="C54:C59" si="9">D54/E54</f>
        <v>75.217856188184967</v>
      </c>
      <c r="D54" s="79">
        <v>112556</v>
      </c>
      <c r="E54" s="55">
        <v>1496.4</v>
      </c>
      <c r="F54" s="77">
        <v>75</v>
      </c>
      <c r="G54" s="133"/>
      <c r="H54" s="133"/>
      <c r="I54" s="133"/>
      <c r="J54" s="133"/>
      <c r="K54" s="133"/>
      <c r="L54" s="133"/>
      <c r="M54" s="133"/>
      <c r="N54" s="133"/>
      <c r="O54" s="133"/>
      <c r="P54" s="141" t="str">
        <f t="shared" si="7"/>
        <v>Not 100%!</v>
      </c>
    </row>
    <row r="55" spans="1:17" s="9" customFormat="1">
      <c r="A55" s="56" t="s">
        <v>433</v>
      </c>
      <c r="B55" s="50" t="s">
        <v>434</v>
      </c>
      <c r="C55" s="78">
        <f t="shared" si="9"/>
        <v>85.561210640608039</v>
      </c>
      <c r="D55" s="79">
        <v>126083</v>
      </c>
      <c r="E55" s="55">
        <v>1473.6</v>
      </c>
      <c r="F55" s="77">
        <v>86</v>
      </c>
      <c r="G55" s="133"/>
      <c r="H55" s="133"/>
      <c r="I55" s="133"/>
      <c r="J55" s="133"/>
      <c r="K55" s="133"/>
      <c r="L55" s="133"/>
      <c r="M55" s="133"/>
      <c r="N55" s="133"/>
      <c r="O55" s="133"/>
      <c r="P55" s="141" t="str">
        <f t="shared" si="7"/>
        <v>Not 100%!</v>
      </c>
    </row>
    <row r="56" spans="1:17" s="9" customFormat="1">
      <c r="A56" s="56" t="s">
        <v>10</v>
      </c>
      <c r="B56" s="50" t="s">
        <v>11</v>
      </c>
      <c r="C56" s="78">
        <f t="shared" si="9"/>
        <v>96.455228801265989</v>
      </c>
      <c r="D56" s="79">
        <v>146284</v>
      </c>
      <c r="E56" s="55">
        <v>1516.6</v>
      </c>
      <c r="F56" s="77">
        <v>96</v>
      </c>
      <c r="G56" s="133"/>
      <c r="H56" s="133"/>
      <c r="I56" s="133"/>
      <c r="J56" s="133"/>
      <c r="K56" s="133"/>
      <c r="L56" s="133"/>
      <c r="M56" s="133"/>
      <c r="N56" s="133"/>
      <c r="O56" s="133"/>
      <c r="P56" s="141" t="str">
        <f t="shared" si="7"/>
        <v>Not 100%!</v>
      </c>
    </row>
    <row r="57" spans="1:17" s="9" customFormat="1">
      <c r="A57" s="56" t="s">
        <v>656</v>
      </c>
      <c r="B57" s="50" t="s">
        <v>21</v>
      </c>
      <c r="C57" s="78">
        <f t="shared" si="9"/>
        <v>126.65084525357608</v>
      </c>
      <c r="D57" s="79">
        <v>194789</v>
      </c>
      <c r="E57" s="55">
        <v>1538</v>
      </c>
      <c r="F57" s="77">
        <v>127</v>
      </c>
      <c r="G57" s="133"/>
      <c r="H57" s="133"/>
      <c r="I57" s="133"/>
      <c r="J57" s="133"/>
      <c r="K57" s="133"/>
      <c r="L57" s="133"/>
      <c r="M57" s="133"/>
      <c r="N57" s="133"/>
      <c r="O57" s="133"/>
      <c r="P57" s="141" t="str">
        <f t="shared" si="7"/>
        <v>Not 100%!</v>
      </c>
    </row>
    <row r="58" spans="1:17" s="9" customFormat="1">
      <c r="A58" s="56" t="s">
        <v>888</v>
      </c>
      <c r="B58" s="50" t="s">
        <v>889</v>
      </c>
      <c r="C58" s="78">
        <f t="shared" si="9"/>
        <v>145.27470418931884</v>
      </c>
      <c r="D58" s="79">
        <v>227137</v>
      </c>
      <c r="E58" s="55">
        <v>1563.5</v>
      </c>
      <c r="F58" s="77">
        <v>145</v>
      </c>
      <c r="G58" s="133"/>
      <c r="H58" s="133"/>
      <c r="I58" s="133"/>
      <c r="J58" s="133"/>
      <c r="K58" s="133"/>
      <c r="L58" s="133"/>
      <c r="M58" s="133"/>
      <c r="N58" s="133"/>
      <c r="O58" s="133"/>
      <c r="P58" s="141" t="str">
        <f t="shared" si="7"/>
        <v>Not 100%!</v>
      </c>
    </row>
    <row r="59" spans="1:17" s="9" customFormat="1">
      <c r="A59" s="56" t="s">
        <v>890</v>
      </c>
      <c r="B59" s="50" t="s">
        <v>351</v>
      </c>
      <c r="C59" s="78">
        <f t="shared" si="9"/>
        <v>269.29632587859425</v>
      </c>
      <c r="D59" s="79">
        <v>337159</v>
      </c>
      <c r="E59" s="55">
        <v>1252</v>
      </c>
      <c r="F59" s="77">
        <v>269</v>
      </c>
      <c r="G59" s="133"/>
      <c r="H59" s="133"/>
      <c r="I59" s="133"/>
      <c r="J59" s="133"/>
      <c r="K59" s="133"/>
      <c r="L59" s="133"/>
      <c r="M59" s="133"/>
      <c r="N59" s="133"/>
      <c r="O59" s="133"/>
      <c r="P59" s="141" t="str">
        <f t="shared" si="7"/>
        <v>Not 100%!</v>
      </c>
    </row>
    <row r="60" spans="1:17" s="6" customFormat="1">
      <c r="A60" s="20" t="s">
        <v>20</v>
      </c>
      <c r="B60" s="21" t="s">
        <v>894</v>
      </c>
      <c r="C60" s="22">
        <f t="shared" ref="C60:C98" si="10">(D60/E60)+MGR</f>
        <v>76.671201232032857</v>
      </c>
      <c r="D60" s="23">
        <f>$G60*$D$45+$H60*$D$46+$I60*$D$47+$J60*$D$48+$K60*$D$49+$L60*$D$50+$M60*$D$51+$N60*$D$52+$O60*$D$53</f>
        <v>139128.5</v>
      </c>
      <c r="E60" s="57">
        <f>(E31*0.5)+(E32*0.5)</f>
        <v>1948</v>
      </c>
      <c r="F60" s="8" t="s">
        <v>9</v>
      </c>
      <c r="G60" s="133"/>
      <c r="H60" s="133"/>
      <c r="I60" s="133"/>
      <c r="J60" s="133"/>
      <c r="K60" s="133">
        <v>0.5</v>
      </c>
      <c r="L60" s="133">
        <v>0.5</v>
      </c>
      <c r="M60" s="133"/>
      <c r="N60" s="133"/>
      <c r="O60" s="133"/>
      <c r="P60" s="141" t="str">
        <f t="shared" si="7"/>
        <v/>
      </c>
    </row>
    <row r="61" spans="1:17" s="9" customFormat="1">
      <c r="A61" s="20" t="s">
        <v>20</v>
      </c>
      <c r="B61" s="21" t="s">
        <v>895</v>
      </c>
      <c r="C61" s="22">
        <f t="shared" si="10"/>
        <v>95.105424769703177</v>
      </c>
      <c r="D61" s="23">
        <f t="shared" ref="D61:D98" si="11">$G61*$D$45+$H61*$D$46+$I61*$D$47+$J61*$D$48+$K61*$D$49+$L61*$D$50+$M61*$D$51+$N61*$D$52+$O61*$D$53</f>
        <v>175577.5</v>
      </c>
      <c r="E61" s="57">
        <f>(E32*0.5)+(E33*0.5)</f>
        <v>1954</v>
      </c>
      <c r="F61" s="24" t="s">
        <v>600</v>
      </c>
      <c r="G61" s="133"/>
      <c r="H61" s="133"/>
      <c r="I61" s="133"/>
      <c r="J61" s="133"/>
      <c r="K61" s="133"/>
      <c r="L61" s="133">
        <v>0.5</v>
      </c>
      <c r="M61" s="133">
        <v>0.5</v>
      </c>
      <c r="N61" s="133"/>
      <c r="O61" s="133"/>
      <c r="P61" s="141" t="str">
        <f t="shared" si="7"/>
        <v/>
      </c>
      <c r="Q61" s="6"/>
    </row>
    <row r="62" spans="1:17" s="9" customFormat="1">
      <c r="A62" s="20" t="s">
        <v>20</v>
      </c>
      <c r="B62" s="21" t="s">
        <v>896</v>
      </c>
      <c r="C62" s="87">
        <f t="shared" si="10"/>
        <v>61.976232032854206</v>
      </c>
      <c r="D62" s="23">
        <f t="shared" si="11"/>
        <v>110502.7</v>
      </c>
      <c r="E62" s="57">
        <f>(E28*0.3)+(E29*0.5)+(E30*0.2)</f>
        <v>1948</v>
      </c>
      <c r="F62" s="88" t="s">
        <v>1063</v>
      </c>
      <c r="G62" s="133"/>
      <c r="H62" s="133">
        <v>0.2</v>
      </c>
      <c r="I62" s="133">
        <v>0.5</v>
      </c>
      <c r="J62" s="133">
        <v>0.3</v>
      </c>
      <c r="K62" s="133"/>
      <c r="L62" s="133"/>
      <c r="M62" s="133"/>
      <c r="N62" s="133"/>
      <c r="O62" s="133"/>
      <c r="P62" s="141" t="str">
        <f t="shared" si="7"/>
        <v/>
      </c>
      <c r="Q62" s="6"/>
    </row>
    <row r="63" spans="1:17" s="9" customFormat="1">
      <c r="A63" s="20" t="s">
        <v>20</v>
      </c>
      <c r="B63" s="21" t="s">
        <v>567</v>
      </c>
      <c r="C63" s="22">
        <f t="shared" si="10"/>
        <v>91.025107604017208</v>
      </c>
      <c r="D63" s="23">
        <f t="shared" si="11"/>
        <v>167398.69999999998</v>
      </c>
      <c r="E63" s="57">
        <f>(E32*0.7)+(E33*0.3)</f>
        <v>1951.6</v>
      </c>
      <c r="F63" s="8" t="s">
        <v>527</v>
      </c>
      <c r="G63" s="133"/>
      <c r="H63" s="133"/>
      <c r="I63" s="133"/>
      <c r="J63" s="133"/>
      <c r="K63" s="133"/>
      <c r="L63" s="133">
        <v>0.7</v>
      </c>
      <c r="M63" s="133">
        <v>0.3</v>
      </c>
      <c r="N63" s="133"/>
      <c r="O63" s="133"/>
      <c r="P63" s="141" t="str">
        <f t="shared" si="7"/>
        <v/>
      </c>
      <c r="Q63" s="6"/>
    </row>
    <row r="64" spans="1:17" s="9" customFormat="1">
      <c r="A64" s="20" t="s">
        <v>20</v>
      </c>
      <c r="B64" s="21" t="s">
        <v>568</v>
      </c>
      <c r="C64" s="22">
        <f t="shared" si="10"/>
        <v>72.563911704312119</v>
      </c>
      <c r="D64" s="23">
        <f t="shared" si="11"/>
        <v>131127.5</v>
      </c>
      <c r="E64" s="57">
        <f>(E31*0.75)+(E32*0.25)</f>
        <v>1948</v>
      </c>
      <c r="F64" s="7" t="s">
        <v>839</v>
      </c>
      <c r="G64" s="133"/>
      <c r="H64" s="133"/>
      <c r="I64" s="133"/>
      <c r="J64" s="133"/>
      <c r="K64" s="133">
        <v>0.75</v>
      </c>
      <c r="L64" s="133">
        <v>0.25</v>
      </c>
      <c r="M64" s="133"/>
      <c r="N64" s="133"/>
      <c r="O64" s="133"/>
      <c r="P64" s="141" t="str">
        <f t="shared" si="7"/>
        <v/>
      </c>
      <c r="Q64" s="6"/>
    </row>
    <row r="65" spans="1:17" s="9" customFormat="1">
      <c r="A65" s="20" t="s">
        <v>20</v>
      </c>
      <c r="B65" s="21" t="s">
        <v>569</v>
      </c>
      <c r="C65" s="87">
        <f t="shared" si="10"/>
        <v>70.099537987679682</v>
      </c>
      <c r="D65" s="23">
        <f t="shared" si="11"/>
        <v>126326.90000000001</v>
      </c>
      <c r="E65" s="57">
        <f>(E31*0.9)+(E32*0.1)</f>
        <v>1948</v>
      </c>
      <c r="F65" s="76" t="s">
        <v>1062</v>
      </c>
      <c r="G65" s="133"/>
      <c r="H65" s="133"/>
      <c r="I65" s="133"/>
      <c r="J65" s="133"/>
      <c r="K65" s="133">
        <v>0.9</v>
      </c>
      <c r="L65" s="133">
        <v>0.1</v>
      </c>
      <c r="M65" s="133"/>
      <c r="N65" s="133"/>
      <c r="O65" s="133"/>
      <c r="P65" s="141" t="str">
        <f t="shared" si="7"/>
        <v/>
      </c>
      <c r="Q65" s="6"/>
    </row>
    <row r="66" spans="1:17" s="9" customFormat="1">
      <c r="A66" s="20" t="s">
        <v>20</v>
      </c>
      <c r="B66" s="21" t="s">
        <v>570</v>
      </c>
      <c r="C66" s="22">
        <f t="shared" si="10"/>
        <v>88.981183347005754</v>
      </c>
      <c r="D66" s="23">
        <f t="shared" si="11"/>
        <v>163309.30000000002</v>
      </c>
      <c r="E66" s="57">
        <f>(E32*0.8)+(E33*0.2)</f>
        <v>1950.4</v>
      </c>
      <c r="F66" s="8" t="s">
        <v>1008</v>
      </c>
      <c r="G66" s="133"/>
      <c r="H66" s="133"/>
      <c r="I66" s="133"/>
      <c r="J66" s="133"/>
      <c r="K66" s="133"/>
      <c r="L66" s="133">
        <v>0.8</v>
      </c>
      <c r="M66" s="133">
        <v>0.2</v>
      </c>
      <c r="N66" s="133"/>
      <c r="O66" s="133"/>
      <c r="P66" s="141" t="str">
        <f t="shared" si="7"/>
        <v/>
      </c>
      <c r="Q66" s="6"/>
    </row>
    <row r="67" spans="1:17">
      <c r="A67" s="20" t="s">
        <v>20</v>
      </c>
      <c r="B67" s="21" t="s">
        <v>571</v>
      </c>
      <c r="C67" s="22">
        <f t="shared" si="10"/>
        <v>97.14182692307692</v>
      </c>
      <c r="D67" s="23">
        <f t="shared" si="11"/>
        <v>179666.9</v>
      </c>
      <c r="E67" s="57">
        <f>(E32*0.4)+(E33*0.6)</f>
        <v>1955.2</v>
      </c>
      <c r="F67" s="8" t="s">
        <v>1054</v>
      </c>
      <c r="G67" s="133"/>
      <c r="H67" s="133"/>
      <c r="I67" s="133"/>
      <c r="J67" s="133"/>
      <c r="K67" s="133"/>
      <c r="L67" s="133">
        <v>0.4</v>
      </c>
      <c r="M67" s="133">
        <v>0.6</v>
      </c>
      <c r="N67" s="133"/>
      <c r="O67" s="133"/>
      <c r="P67" s="141" t="str">
        <f t="shared" ref="P67:P98" si="12">IF(SUM(G67:O67)=1,"","Not 100%!")</f>
        <v/>
      </c>
      <c r="Q67" s="6"/>
    </row>
    <row r="68" spans="1:17">
      <c r="A68" s="20" t="s">
        <v>20</v>
      </c>
      <c r="B68" s="21" t="s">
        <v>658</v>
      </c>
      <c r="C68" s="22">
        <f t="shared" si="10"/>
        <v>99.175730934369241</v>
      </c>
      <c r="D68" s="23">
        <f t="shared" si="11"/>
        <v>183756.3</v>
      </c>
      <c r="E68" s="57">
        <f>(E32*0.3)+(E33*0.7)</f>
        <v>1956.4</v>
      </c>
      <c r="F68" s="24" t="s">
        <v>668</v>
      </c>
      <c r="G68" s="133"/>
      <c r="H68" s="133"/>
      <c r="I68" s="133"/>
      <c r="J68" s="133"/>
      <c r="K68" s="133"/>
      <c r="L68" s="133">
        <v>0.3</v>
      </c>
      <c r="M68" s="133">
        <v>0.7</v>
      </c>
      <c r="N68" s="133"/>
      <c r="O68" s="133"/>
      <c r="P68" s="141" t="str">
        <f t="shared" si="12"/>
        <v/>
      </c>
      <c r="Q68" s="6"/>
    </row>
    <row r="69" spans="1:17">
      <c r="A69" s="25" t="s">
        <v>20</v>
      </c>
      <c r="B69" s="26" t="s">
        <v>528</v>
      </c>
      <c r="C69" s="22">
        <f t="shared" si="10"/>
        <v>66.136160668459638</v>
      </c>
      <c r="D69" s="23">
        <f t="shared" si="11"/>
        <v>118628.16000000002</v>
      </c>
      <c r="E69" s="57">
        <f>(E27*0.1)+(E28*0.22)+(E31*0.45)+(E32 *0.2)+(E33*0.03)</f>
        <v>1948.36</v>
      </c>
      <c r="F69" s="10" t="s">
        <v>271</v>
      </c>
      <c r="G69" s="133">
        <v>0.1</v>
      </c>
      <c r="H69" s="133">
        <v>0.22</v>
      </c>
      <c r="I69" s="133"/>
      <c r="J69" s="133"/>
      <c r="K69" s="133">
        <v>0.45</v>
      </c>
      <c r="L69" s="133">
        <v>0.2</v>
      </c>
      <c r="M69" s="133">
        <v>0.03</v>
      </c>
      <c r="N69" s="133"/>
      <c r="O69" s="133"/>
      <c r="P69" s="141" t="str">
        <f t="shared" si="12"/>
        <v/>
      </c>
      <c r="Q69" s="6"/>
    </row>
    <row r="70" spans="1:17">
      <c r="A70" s="25" t="s">
        <v>20</v>
      </c>
      <c r="B70" s="26" t="s">
        <v>602</v>
      </c>
      <c r="C70" s="22">
        <f t="shared" si="10"/>
        <v>46.594167710407973</v>
      </c>
      <c r="D70" s="23">
        <f t="shared" si="11"/>
        <v>80543.39999999998</v>
      </c>
      <c r="E70" s="57">
        <f>(E27*0.6)+(E28*0.24)+(E31*0.13)+(E32*0.02)+(E33*0.01)</f>
        <v>1948.12</v>
      </c>
      <c r="F70" s="10" t="s">
        <v>586</v>
      </c>
      <c r="G70" s="133">
        <v>0.6</v>
      </c>
      <c r="H70" s="133">
        <v>0.24</v>
      </c>
      <c r="I70" s="133"/>
      <c r="J70" s="133"/>
      <c r="K70" s="133">
        <v>0.13</v>
      </c>
      <c r="L70" s="133">
        <v>0.02</v>
      </c>
      <c r="M70" s="133">
        <v>0.01</v>
      </c>
      <c r="N70" s="133"/>
      <c r="O70" s="133"/>
      <c r="P70" s="141" t="str">
        <f t="shared" si="12"/>
        <v/>
      </c>
      <c r="Q70" s="6"/>
    </row>
    <row r="71" spans="1:17" s="2" customFormat="1">
      <c r="A71" s="25" t="s">
        <v>20</v>
      </c>
      <c r="B71" s="26" t="s">
        <v>603</v>
      </c>
      <c r="C71" s="22">
        <f t="shared" si="10"/>
        <v>46.429886249307025</v>
      </c>
      <c r="D71" s="23">
        <f t="shared" si="11"/>
        <v>80223.360000000001</v>
      </c>
      <c r="E71" s="57">
        <f>(E27*0.6)+(E28*0.25)+(E31*0.12)+(E32*0.02)+(E33*0.01)</f>
        <v>1948.12</v>
      </c>
      <c r="F71" s="2" t="s">
        <v>202</v>
      </c>
      <c r="G71" s="134">
        <v>0.6</v>
      </c>
      <c r="H71" s="134">
        <v>0.25</v>
      </c>
      <c r="I71" s="134"/>
      <c r="J71" s="134"/>
      <c r="K71" s="134">
        <v>0.12</v>
      </c>
      <c r="L71" s="134">
        <v>0.02</v>
      </c>
      <c r="M71" s="134">
        <v>0.01</v>
      </c>
      <c r="N71" s="134"/>
      <c r="O71" s="134"/>
      <c r="P71" s="141" t="str">
        <f t="shared" si="12"/>
        <v/>
      </c>
      <c r="Q71" s="6"/>
    </row>
    <row r="72" spans="1:17" s="2" customFormat="1">
      <c r="A72" s="20" t="s">
        <v>20</v>
      </c>
      <c r="B72" s="21" t="s">
        <v>432</v>
      </c>
      <c r="C72" s="22">
        <f t="shared" si="10"/>
        <v>88.749999999999986</v>
      </c>
      <c r="D72" s="23">
        <f t="shared" si="11"/>
        <v>148463</v>
      </c>
      <c r="E72" s="57">
        <f>(E22*0.4)+(E23*0.45)+(E24*0.15)</f>
        <v>1778.0000000000002</v>
      </c>
      <c r="F72" s="8" t="s">
        <v>203</v>
      </c>
      <c r="G72" s="134"/>
      <c r="H72" s="134"/>
      <c r="I72" s="134"/>
      <c r="J72" s="134"/>
      <c r="K72" s="134">
        <v>0.4</v>
      </c>
      <c r="L72" s="134">
        <v>0.45</v>
      </c>
      <c r="M72" s="134">
        <v>0.15</v>
      </c>
      <c r="N72" s="134"/>
      <c r="O72" s="134"/>
      <c r="P72" s="141" t="str">
        <f t="shared" si="12"/>
        <v/>
      </c>
      <c r="Q72" s="6"/>
    </row>
    <row r="73" spans="1:17" s="2" customFormat="1">
      <c r="A73" s="20" t="s">
        <v>20</v>
      </c>
      <c r="B73" s="21" t="s">
        <v>1064</v>
      </c>
      <c r="C73" s="22">
        <f t="shared" si="10"/>
        <v>88.981183347005754</v>
      </c>
      <c r="D73" s="23">
        <f t="shared" si="11"/>
        <v>163309.30000000002</v>
      </c>
      <c r="E73" s="57">
        <f>(E32*0.8)+(E33*0.2)</f>
        <v>1950.4</v>
      </c>
      <c r="F73" s="8" t="s">
        <v>422</v>
      </c>
      <c r="G73" s="134"/>
      <c r="H73" s="134"/>
      <c r="I73" s="134"/>
      <c r="J73" s="134"/>
      <c r="K73" s="134"/>
      <c r="L73" s="134">
        <v>0.8</v>
      </c>
      <c r="M73" s="134">
        <v>0.2</v>
      </c>
      <c r="N73" s="134"/>
      <c r="O73" s="134"/>
      <c r="P73" s="141" t="str">
        <f t="shared" si="12"/>
        <v/>
      </c>
      <c r="Q73" s="6"/>
    </row>
    <row r="74" spans="1:17">
      <c r="A74" s="20" t="s">
        <v>20</v>
      </c>
      <c r="B74" s="21" t="s">
        <v>265</v>
      </c>
      <c r="C74" s="22">
        <f t="shared" si="10"/>
        <v>59.32931211498974</v>
      </c>
      <c r="D74" s="23">
        <f t="shared" si="11"/>
        <v>105346.50000000001</v>
      </c>
      <c r="E74" s="57">
        <f>(E28*0.4)+(E29*0.4)+(E30*0.2)</f>
        <v>1948</v>
      </c>
      <c r="F74" s="8" t="s">
        <v>423</v>
      </c>
      <c r="G74" s="133"/>
      <c r="H74" s="133">
        <v>0.4</v>
      </c>
      <c r="I74" s="133">
        <v>0.4</v>
      </c>
      <c r="J74" s="133">
        <v>0.2</v>
      </c>
      <c r="K74" s="133"/>
      <c r="L74" s="133"/>
      <c r="M74" s="133"/>
      <c r="N74" s="133"/>
      <c r="O74" s="133"/>
      <c r="P74" s="141" t="str">
        <f t="shared" si="12"/>
        <v/>
      </c>
      <c r="Q74" s="6"/>
    </row>
    <row r="75" spans="1:17">
      <c r="A75" s="20" t="s">
        <v>20</v>
      </c>
      <c r="B75" s="21" t="s">
        <v>266</v>
      </c>
      <c r="C75" s="22">
        <f t="shared" si="10"/>
        <v>100.19174757281553</v>
      </c>
      <c r="D75" s="23">
        <f t="shared" si="11"/>
        <v>185801</v>
      </c>
      <c r="E75" s="57">
        <f>(E32*0.25)+(E33*0.75)</f>
        <v>1957</v>
      </c>
      <c r="F75" s="8" t="s">
        <v>424</v>
      </c>
      <c r="G75" s="133"/>
      <c r="H75" s="133"/>
      <c r="I75" s="133"/>
      <c r="J75" s="133"/>
      <c r="K75" s="133"/>
      <c r="L75" s="133">
        <v>0.25</v>
      </c>
      <c r="M75" s="133">
        <v>0.75</v>
      </c>
      <c r="N75" s="133"/>
      <c r="O75" s="133"/>
      <c r="P75" s="141" t="str">
        <f t="shared" si="12"/>
        <v/>
      </c>
      <c r="Q75" s="6"/>
    </row>
    <row r="76" spans="1:17">
      <c r="A76" s="20" t="s">
        <v>20</v>
      </c>
      <c r="B76" s="21" t="s">
        <v>267</v>
      </c>
      <c r="C76" s="22">
        <f t="shared" si="10"/>
        <v>83.527532678062101</v>
      </c>
      <c r="D76" s="23">
        <f t="shared" si="11"/>
        <v>152587.96000000002</v>
      </c>
      <c r="E76" s="57">
        <f>(E31*0.22)+(E32*0.67)+(E33*0.11)</f>
        <v>1949.32</v>
      </c>
      <c r="F76" s="8" t="s">
        <v>759</v>
      </c>
      <c r="G76" s="133"/>
      <c r="H76" s="133"/>
      <c r="I76" s="133"/>
      <c r="J76" s="133"/>
      <c r="K76" s="133">
        <v>0.22</v>
      </c>
      <c r="L76" s="133">
        <v>0.67</v>
      </c>
      <c r="M76" s="133">
        <v>0.11</v>
      </c>
      <c r="N76" s="133"/>
      <c r="O76" s="133"/>
      <c r="P76" s="141" t="str">
        <f t="shared" si="12"/>
        <v/>
      </c>
      <c r="Q76" s="6"/>
    </row>
    <row r="77" spans="1:17">
      <c r="A77" s="20" t="s">
        <v>20</v>
      </c>
      <c r="B77" s="21" t="s">
        <v>546</v>
      </c>
      <c r="C77" s="22">
        <f t="shared" si="10"/>
        <v>85.699394995898274</v>
      </c>
      <c r="D77" s="23">
        <f t="shared" si="11"/>
        <v>156908.5</v>
      </c>
      <c r="E77" s="57">
        <f>(E31*0.2)+(E32*0.6)+(E33*0.2)</f>
        <v>1950.4</v>
      </c>
      <c r="F77" s="8" t="s">
        <v>464</v>
      </c>
      <c r="G77" s="133"/>
      <c r="H77" s="133"/>
      <c r="I77" s="133"/>
      <c r="J77" s="133"/>
      <c r="K77" s="133">
        <v>0.2</v>
      </c>
      <c r="L77" s="133">
        <v>0.6</v>
      </c>
      <c r="M77" s="133">
        <v>0.2</v>
      </c>
      <c r="N77" s="133"/>
      <c r="O77" s="133"/>
      <c r="P77" s="141" t="str">
        <f t="shared" si="12"/>
        <v/>
      </c>
      <c r="Q77" s="6"/>
    </row>
    <row r="78" spans="1:17">
      <c r="A78" s="20" t="s">
        <v>20</v>
      </c>
      <c r="B78" s="21" t="s">
        <v>967</v>
      </c>
      <c r="C78" s="22">
        <f t="shared" si="10"/>
        <v>87.340289171452014</v>
      </c>
      <c r="D78" s="23">
        <f t="shared" si="11"/>
        <v>160108.9</v>
      </c>
      <c r="E78" s="57">
        <f>(E31*0.1)+(E32*0.7)+(E33*0.2)</f>
        <v>1950.3999999999999</v>
      </c>
      <c r="F78" s="8" t="s">
        <v>465</v>
      </c>
      <c r="G78" s="133"/>
      <c r="H78" s="133"/>
      <c r="I78" s="133"/>
      <c r="J78" s="133"/>
      <c r="K78" s="133">
        <v>0.1</v>
      </c>
      <c r="L78" s="133">
        <v>0.7</v>
      </c>
      <c r="M78" s="133">
        <v>0.2</v>
      </c>
      <c r="N78" s="133"/>
      <c r="O78" s="133"/>
      <c r="P78" s="141" t="str">
        <f t="shared" si="12"/>
        <v/>
      </c>
      <c r="Q78" s="6"/>
    </row>
    <row r="79" spans="1:17">
      <c r="A79" s="20" t="s">
        <v>20</v>
      </c>
      <c r="B79" s="21" t="s">
        <v>816</v>
      </c>
      <c r="C79" s="22">
        <f t="shared" si="10"/>
        <v>85.699394995898274</v>
      </c>
      <c r="D79" s="23">
        <f t="shared" si="11"/>
        <v>156908.5</v>
      </c>
      <c r="E79" s="57">
        <f>(E31*0.2)+(E32*0.6)+(E33*0.2)</f>
        <v>1950.4</v>
      </c>
      <c r="F79" s="8" t="s">
        <v>464</v>
      </c>
      <c r="G79" s="133"/>
      <c r="H79" s="133"/>
      <c r="I79" s="133"/>
      <c r="J79" s="133"/>
      <c r="K79" s="133">
        <v>0.2</v>
      </c>
      <c r="L79" s="133">
        <v>0.6</v>
      </c>
      <c r="M79" s="133">
        <v>0.2</v>
      </c>
      <c r="N79" s="133"/>
      <c r="O79" s="133"/>
      <c r="P79" s="141" t="str">
        <f t="shared" si="12"/>
        <v/>
      </c>
      <c r="Q79" s="6"/>
    </row>
    <row r="80" spans="1:17">
      <c r="A80" s="20" t="s">
        <v>20</v>
      </c>
      <c r="B80" s="21" t="s">
        <v>363</v>
      </c>
      <c r="C80" s="22">
        <f t="shared" si="10"/>
        <v>80.776712469237069</v>
      </c>
      <c r="D80" s="23">
        <f t="shared" si="11"/>
        <v>147307.29999999999</v>
      </c>
      <c r="E80" s="57">
        <f>(E31*0.5)+(E32*0.3)+(E33*0.2)</f>
        <v>1950.4</v>
      </c>
      <c r="F80" s="8" t="s">
        <v>466</v>
      </c>
      <c r="G80" s="133"/>
      <c r="H80" s="133"/>
      <c r="I80" s="133"/>
      <c r="J80" s="133"/>
      <c r="K80" s="133">
        <v>0.5</v>
      </c>
      <c r="L80" s="133">
        <v>0.3</v>
      </c>
      <c r="M80" s="133">
        <v>0.2</v>
      </c>
      <c r="N80" s="133"/>
      <c r="O80" s="133"/>
      <c r="P80" s="141" t="str">
        <f t="shared" si="12"/>
        <v/>
      </c>
      <c r="Q80" s="6"/>
    </row>
    <row r="81" spans="1:17">
      <c r="A81" s="20" t="s">
        <v>20</v>
      </c>
      <c r="B81" s="21" t="s">
        <v>335</v>
      </c>
      <c r="C81" s="22">
        <f t="shared" si="10"/>
        <v>80.367124974348457</v>
      </c>
      <c r="D81" s="23">
        <f t="shared" si="11"/>
        <v>146418.30000000002</v>
      </c>
      <c r="E81" s="57">
        <f>(E31*0.4)+(E32*0.5)+(E33*0.1)</f>
        <v>1949.2</v>
      </c>
      <c r="F81" s="8" t="s">
        <v>467</v>
      </c>
      <c r="G81" s="133"/>
      <c r="H81" s="133"/>
      <c r="I81" s="133"/>
      <c r="J81" s="133"/>
      <c r="K81" s="133">
        <v>0.4</v>
      </c>
      <c r="L81" s="133">
        <v>0.5</v>
      </c>
      <c r="M81" s="133">
        <v>0.1</v>
      </c>
      <c r="N81" s="133"/>
      <c r="O81" s="133"/>
      <c r="P81" s="141" t="str">
        <f t="shared" si="12"/>
        <v/>
      </c>
      <c r="Q81" s="6"/>
    </row>
    <row r="82" spans="1:17">
      <c r="A82" s="20" t="s">
        <v>20</v>
      </c>
      <c r="B82" s="21" t="s">
        <v>431</v>
      </c>
      <c r="C82" s="22">
        <f>(D82/E82)</f>
        <v>36.554876796714574</v>
      </c>
      <c r="D82" s="23">
        <f t="shared" si="11"/>
        <v>71208.899999999994</v>
      </c>
      <c r="E82" s="57">
        <f>(E27*0.7+E28*0.3)</f>
        <v>1948</v>
      </c>
      <c r="F82" s="10" t="s">
        <v>837</v>
      </c>
      <c r="G82" s="133">
        <v>0.7</v>
      </c>
      <c r="H82" s="133">
        <v>0.3</v>
      </c>
      <c r="I82" s="133"/>
      <c r="J82" s="133"/>
      <c r="K82" s="133"/>
      <c r="L82" s="133"/>
      <c r="M82" s="133"/>
      <c r="N82" s="133"/>
      <c r="O82" s="133"/>
      <c r="P82" s="141" t="str">
        <f t="shared" si="12"/>
        <v/>
      </c>
      <c r="Q82" s="6"/>
    </row>
    <row r="83" spans="1:17">
      <c r="A83" s="20" t="s">
        <v>20</v>
      </c>
      <c r="B83" s="21" t="s">
        <v>829</v>
      </c>
      <c r="C83" s="22">
        <f>(D83/E83)</f>
        <v>39.475616016427104</v>
      </c>
      <c r="D83" s="23">
        <f t="shared" si="11"/>
        <v>76898.5</v>
      </c>
      <c r="E83" s="57">
        <f>(E27*0.5+E28*0.5)</f>
        <v>1948</v>
      </c>
      <c r="F83" s="10" t="s">
        <v>838</v>
      </c>
      <c r="G83" s="133">
        <v>0.5</v>
      </c>
      <c r="H83" s="133">
        <v>0.5</v>
      </c>
      <c r="I83" s="133"/>
      <c r="J83" s="133"/>
      <c r="K83" s="133"/>
      <c r="L83" s="133"/>
      <c r="M83" s="133"/>
      <c r="N83" s="133"/>
      <c r="O83" s="133"/>
      <c r="P83" s="141" t="str">
        <f t="shared" si="12"/>
        <v/>
      </c>
      <c r="Q83" s="6"/>
    </row>
    <row r="84" spans="1:17">
      <c r="A84" s="20" t="s">
        <v>20</v>
      </c>
      <c r="B84" s="21" t="s">
        <v>662</v>
      </c>
      <c r="C84" s="22">
        <f t="shared" si="10"/>
        <v>73.476642710472277</v>
      </c>
      <c r="D84" s="23">
        <f t="shared" si="11"/>
        <v>132905.5</v>
      </c>
      <c r="E84" s="57">
        <f>(E29*0.5)+(E32*0.5)</f>
        <v>1948</v>
      </c>
      <c r="F84" s="76" t="s">
        <v>665</v>
      </c>
      <c r="G84" s="133"/>
      <c r="H84" s="133"/>
      <c r="I84" s="133">
        <v>0.5</v>
      </c>
      <c r="J84" s="133"/>
      <c r="K84" s="133"/>
      <c r="L84" s="133">
        <v>0.5</v>
      </c>
      <c r="M84" s="133"/>
      <c r="N84" s="133"/>
      <c r="O84" s="133"/>
      <c r="P84" s="141" t="str">
        <f t="shared" si="12"/>
        <v/>
      </c>
      <c r="Q84" s="6"/>
    </row>
    <row r="85" spans="1:17">
      <c r="A85" s="20" t="s">
        <v>20</v>
      </c>
      <c r="B85" s="21" t="s">
        <v>1021</v>
      </c>
      <c r="C85" s="22">
        <f t="shared" si="10"/>
        <v>78.100000000000009</v>
      </c>
      <c r="D85" s="23">
        <f t="shared" si="11"/>
        <v>129527.3</v>
      </c>
      <c r="E85" s="57">
        <f>(E22*0.5)+(E23*0.3)+(E24*0.2)</f>
        <v>1778</v>
      </c>
      <c r="F85" s="7" t="s">
        <v>1022</v>
      </c>
      <c r="G85" s="133"/>
      <c r="H85" s="133"/>
      <c r="I85" s="133"/>
      <c r="J85" s="133">
        <v>0.5</v>
      </c>
      <c r="K85" s="133">
        <v>0.3</v>
      </c>
      <c r="L85" s="133">
        <v>0.2</v>
      </c>
      <c r="M85" s="133"/>
      <c r="N85" s="133"/>
      <c r="O85" s="133"/>
      <c r="P85" s="141" t="str">
        <f t="shared" si="12"/>
        <v/>
      </c>
      <c r="Q85" s="6"/>
    </row>
    <row r="86" spans="1:17">
      <c r="A86" s="20" t="s">
        <v>20</v>
      </c>
      <c r="B86" s="21" t="s">
        <v>659</v>
      </c>
      <c r="C86" s="22">
        <f t="shared" si="10"/>
        <v>85.800000000000011</v>
      </c>
      <c r="D86" s="23">
        <f t="shared" si="11"/>
        <v>143217.90000000002</v>
      </c>
      <c r="E86" s="57">
        <f>(E23*0.5)+(E24*0.4)+(E25*0.1)</f>
        <v>1778</v>
      </c>
      <c r="F86" s="7" t="s">
        <v>1023</v>
      </c>
      <c r="G86" s="133"/>
      <c r="H86" s="133"/>
      <c r="I86" s="133"/>
      <c r="J86" s="133"/>
      <c r="K86" s="133">
        <v>0.5</v>
      </c>
      <c r="L86" s="133">
        <v>0.4</v>
      </c>
      <c r="M86" s="133">
        <v>0.1</v>
      </c>
      <c r="N86" s="133"/>
      <c r="O86" s="133"/>
      <c r="P86" s="141" t="str">
        <f t="shared" si="12"/>
        <v/>
      </c>
      <c r="Q86" s="6"/>
    </row>
    <row r="87" spans="1:17">
      <c r="A87" s="20" t="s">
        <v>20</v>
      </c>
      <c r="B87" s="21" t="s">
        <v>663</v>
      </c>
      <c r="C87" s="22">
        <f t="shared" si="10"/>
        <v>65.077789150460603</v>
      </c>
      <c r="D87" s="23">
        <f t="shared" si="11"/>
        <v>116903.5</v>
      </c>
      <c r="E87" s="57">
        <f>(E31*0.5)+(E33*0.5)</f>
        <v>1954</v>
      </c>
      <c r="F87" s="76" t="s">
        <v>666</v>
      </c>
      <c r="G87" s="134"/>
      <c r="H87" s="133"/>
      <c r="I87" s="133">
        <v>0.5</v>
      </c>
      <c r="J87" s="133"/>
      <c r="K87" s="133">
        <v>0.5</v>
      </c>
      <c r="L87" s="133"/>
      <c r="M87" s="133"/>
      <c r="N87" s="133"/>
      <c r="O87" s="133"/>
      <c r="P87" s="141" t="str">
        <f t="shared" si="12"/>
        <v/>
      </c>
      <c r="Q87" s="6"/>
    </row>
    <row r="88" spans="1:17">
      <c r="A88" s="20" t="s">
        <v>20</v>
      </c>
      <c r="B88" s="21" t="s">
        <v>664</v>
      </c>
      <c r="C88" s="22">
        <f t="shared" si="10"/>
        <v>76.233928571428578</v>
      </c>
      <c r="D88" s="23">
        <f t="shared" si="11"/>
        <v>139128.5</v>
      </c>
      <c r="E88" s="57">
        <f>(E33*0.5)+(E34*0.5)</f>
        <v>1960</v>
      </c>
      <c r="F88" s="76" t="s">
        <v>1010</v>
      </c>
      <c r="G88" s="134"/>
      <c r="H88" s="133"/>
      <c r="I88" s="133"/>
      <c r="J88" s="133"/>
      <c r="K88" s="133">
        <v>0.5</v>
      </c>
      <c r="L88" s="133">
        <v>0.5</v>
      </c>
      <c r="M88" s="133"/>
      <c r="N88" s="133"/>
      <c r="O88" s="133"/>
      <c r="P88" s="141" t="str">
        <f t="shared" si="12"/>
        <v/>
      </c>
      <c r="Q88" s="6"/>
    </row>
    <row r="89" spans="1:17">
      <c r="A89" s="20" t="s">
        <v>20</v>
      </c>
      <c r="B89" s="21" t="s">
        <v>661</v>
      </c>
      <c r="C89" s="22">
        <f t="shared" si="10"/>
        <v>71.788928571428571</v>
      </c>
      <c r="D89" s="23">
        <f t="shared" si="11"/>
        <v>130416.3</v>
      </c>
      <c r="E89" s="57">
        <f>(E33*0.9)+(E35*0.1)</f>
        <v>1960</v>
      </c>
      <c r="F89" s="76" t="s">
        <v>1011</v>
      </c>
      <c r="G89" s="134"/>
      <c r="H89" s="133"/>
      <c r="I89" s="133"/>
      <c r="J89" s="133"/>
      <c r="K89" s="133">
        <v>0.9</v>
      </c>
      <c r="L89" s="133"/>
      <c r="M89" s="133">
        <v>0.1</v>
      </c>
      <c r="N89" s="133"/>
      <c r="O89" s="133"/>
      <c r="P89" s="141" t="str">
        <f t="shared" si="12"/>
        <v/>
      </c>
      <c r="Q89" s="6"/>
    </row>
    <row r="90" spans="1:17">
      <c r="A90" s="20" t="s">
        <v>20</v>
      </c>
      <c r="B90" s="21" t="s">
        <v>1012</v>
      </c>
      <c r="C90" s="22">
        <f t="shared" si="10"/>
        <v>86.666071428571428</v>
      </c>
      <c r="D90" s="23">
        <f t="shared" si="11"/>
        <v>159575.5</v>
      </c>
      <c r="E90" s="57">
        <f>(E33*0.5+E35*0.5)</f>
        <v>1960</v>
      </c>
      <c r="F90" s="76" t="s">
        <v>1013</v>
      </c>
      <c r="G90" s="134"/>
      <c r="H90" s="133"/>
      <c r="I90" s="133"/>
      <c r="J90" s="133"/>
      <c r="K90" s="133">
        <v>0.5</v>
      </c>
      <c r="L90" s="133"/>
      <c r="M90" s="133">
        <v>0.5</v>
      </c>
      <c r="N90" s="133"/>
      <c r="O90" s="133"/>
      <c r="P90" s="141" t="str">
        <f t="shared" si="12"/>
        <v/>
      </c>
      <c r="Q90" s="6"/>
    </row>
    <row r="91" spans="1:17">
      <c r="A91" s="20" t="s">
        <v>20</v>
      </c>
      <c r="B91" s="21" t="s">
        <v>1014</v>
      </c>
      <c r="C91" s="22">
        <f t="shared" si="10"/>
        <v>94.830357142857139</v>
      </c>
      <c r="D91" s="23">
        <f t="shared" si="11"/>
        <v>175577.5</v>
      </c>
      <c r="E91" s="57">
        <f>(E34*0.5)+(E35*0.5)</f>
        <v>1960</v>
      </c>
      <c r="F91" s="76" t="s">
        <v>1015</v>
      </c>
      <c r="G91" s="134"/>
      <c r="H91" s="133"/>
      <c r="I91" s="133"/>
      <c r="J91" s="133"/>
      <c r="K91" s="133"/>
      <c r="L91" s="133">
        <v>0.5</v>
      </c>
      <c r="M91" s="133">
        <v>0.5</v>
      </c>
      <c r="N91" s="133"/>
      <c r="O91" s="133"/>
      <c r="P91" s="141" t="str">
        <f t="shared" si="12"/>
        <v/>
      </c>
      <c r="Q91" s="6"/>
    </row>
    <row r="92" spans="1:17">
      <c r="A92" s="20" t="s">
        <v>20</v>
      </c>
      <c r="B92" s="21" t="s">
        <v>1016</v>
      </c>
      <c r="C92" s="22">
        <f t="shared" si="10"/>
        <v>88.571071428571443</v>
      </c>
      <c r="D92" s="23">
        <f t="shared" si="11"/>
        <v>163309.30000000002</v>
      </c>
      <c r="E92" s="57">
        <f>(E34*0.8)+(E35*0.2)</f>
        <v>1960</v>
      </c>
      <c r="F92" s="76" t="s">
        <v>1017</v>
      </c>
      <c r="G92" s="134"/>
      <c r="H92" s="133"/>
      <c r="I92" s="133"/>
      <c r="J92" s="133"/>
      <c r="K92" s="133"/>
      <c r="L92" s="133">
        <v>0.8</v>
      </c>
      <c r="M92" s="133">
        <v>0.2</v>
      </c>
      <c r="N92" s="133"/>
      <c r="O92" s="133"/>
      <c r="P92" s="141" t="str">
        <f t="shared" si="12"/>
        <v/>
      </c>
      <c r="Q92" s="6"/>
    </row>
    <row r="93" spans="1:17">
      <c r="A93" s="20" t="s">
        <v>20</v>
      </c>
      <c r="B93" s="21" t="s">
        <v>1018</v>
      </c>
      <c r="C93" s="22">
        <f t="shared" si="10"/>
        <v>75.054642857142866</v>
      </c>
      <c r="D93" s="23">
        <f t="shared" si="11"/>
        <v>136817.1</v>
      </c>
      <c r="E93" s="57">
        <f>(E33*0.7)+(E34*0.2)+(E35*0.1)</f>
        <v>1960</v>
      </c>
      <c r="F93" s="7" t="s">
        <v>1019</v>
      </c>
      <c r="G93" s="134"/>
      <c r="H93" s="133"/>
      <c r="I93" s="133"/>
      <c r="J93" s="133"/>
      <c r="K93" s="133">
        <v>0.7</v>
      </c>
      <c r="L93" s="133">
        <v>0.2</v>
      </c>
      <c r="M93" s="133">
        <v>0.1</v>
      </c>
      <c r="N93" s="133"/>
      <c r="O93" s="133"/>
      <c r="P93" s="141" t="str">
        <f t="shared" si="12"/>
        <v/>
      </c>
      <c r="Q93" s="6"/>
    </row>
    <row r="94" spans="1:17">
      <c r="A94" s="20" t="s">
        <v>20</v>
      </c>
      <c r="B94" s="21" t="s">
        <v>660</v>
      </c>
      <c r="C94" s="22">
        <f t="shared" si="10"/>
        <v>69.900409416581383</v>
      </c>
      <c r="D94" s="23">
        <f t="shared" si="11"/>
        <v>126326.90000000001</v>
      </c>
      <c r="E94" s="57">
        <f>(E32*0.5)+(E33*0.4)+(E34*0.1)</f>
        <v>1954</v>
      </c>
      <c r="F94" s="7" t="s">
        <v>1020</v>
      </c>
      <c r="G94" s="134"/>
      <c r="H94" s="133"/>
      <c r="I94" s="133"/>
      <c r="J94" s="133">
        <v>0.5</v>
      </c>
      <c r="K94" s="133">
        <v>0.4</v>
      </c>
      <c r="L94" s="133">
        <v>0.1</v>
      </c>
      <c r="M94" s="133"/>
      <c r="N94" s="133"/>
      <c r="O94" s="133"/>
      <c r="P94" s="141" t="str">
        <f t="shared" si="12"/>
        <v/>
      </c>
      <c r="Q94" s="6"/>
    </row>
    <row r="95" spans="1:17">
      <c r="A95" s="20" t="s">
        <v>20</v>
      </c>
      <c r="B95" s="21" t="s">
        <v>902</v>
      </c>
      <c r="C95" s="22">
        <f t="shared" si="10"/>
        <v>80.617576161657595</v>
      </c>
      <c r="D95" s="23">
        <f t="shared" si="11"/>
        <v>146951.69999999998</v>
      </c>
      <c r="E95" s="57">
        <f>(E29*0.25)+(E31*0.1)+(E32*0.5)+(E33*0.15)</f>
        <v>1949.8</v>
      </c>
      <c r="F95" s="7" t="s">
        <v>778</v>
      </c>
      <c r="G95" s="133"/>
      <c r="H95" s="133"/>
      <c r="I95" s="133">
        <v>0.25</v>
      </c>
      <c r="J95" s="133"/>
      <c r="K95" s="133">
        <v>0.1</v>
      </c>
      <c r="L95" s="133">
        <v>0.5</v>
      </c>
      <c r="M95" s="133">
        <v>0.15</v>
      </c>
      <c r="N95" s="133"/>
      <c r="O95" s="133"/>
      <c r="P95" s="141" t="str">
        <f t="shared" si="12"/>
        <v/>
      </c>
      <c r="Q95" s="6"/>
    </row>
    <row r="96" spans="1:17">
      <c r="A96" s="20" t="s">
        <v>20</v>
      </c>
      <c r="B96" s="21" t="s">
        <v>959</v>
      </c>
      <c r="C96" s="22">
        <f t="shared" si="10"/>
        <v>93.282905544147852</v>
      </c>
      <c r="D96" s="23">
        <f t="shared" si="11"/>
        <v>171488.1</v>
      </c>
      <c r="E96" s="57">
        <f>SUM(E31*0.6)+(E32*0.4)</f>
        <v>1948</v>
      </c>
      <c r="F96" s="7" t="s">
        <v>605</v>
      </c>
      <c r="G96" s="133"/>
      <c r="H96" s="133"/>
      <c r="I96" s="133"/>
      <c r="J96" s="133"/>
      <c r="K96" s="133"/>
      <c r="L96" s="133">
        <v>0.6</v>
      </c>
      <c r="M96" s="133">
        <v>0.4</v>
      </c>
      <c r="N96" s="133"/>
      <c r="O96" s="133"/>
      <c r="P96" s="141" t="str">
        <f t="shared" si="12"/>
        <v/>
      </c>
      <c r="Q96" s="6"/>
    </row>
    <row r="97" spans="1:17">
      <c r="A97" s="20" t="s">
        <v>20</v>
      </c>
      <c r="B97" s="21" t="s">
        <v>366</v>
      </c>
      <c r="C97" s="22">
        <f t="shared" si="10"/>
        <v>97.481468172484597</v>
      </c>
      <c r="D97" s="23">
        <f t="shared" si="11"/>
        <v>179666.9</v>
      </c>
      <c r="E97" s="57">
        <f>SUM(E31*0.4)+(E32*0.6)</f>
        <v>1948</v>
      </c>
      <c r="F97" s="7" t="s">
        <v>367</v>
      </c>
      <c r="G97" s="133"/>
      <c r="H97" s="133"/>
      <c r="I97" s="133"/>
      <c r="J97" s="133"/>
      <c r="K97" s="133"/>
      <c r="L97" s="133">
        <v>0.4</v>
      </c>
      <c r="M97" s="133">
        <v>0.6</v>
      </c>
      <c r="N97" s="133"/>
      <c r="O97" s="133"/>
      <c r="P97" s="141" t="str">
        <f t="shared" si="12"/>
        <v/>
      </c>
      <c r="Q97" s="6"/>
    </row>
    <row r="98" spans="1:17">
      <c r="A98" s="20" t="s">
        <v>20</v>
      </c>
      <c r="B98" s="21" t="s">
        <v>525</v>
      </c>
      <c r="C98" s="22">
        <f t="shared" si="10"/>
        <v>63.664784394250511</v>
      </c>
      <c r="D98" s="23">
        <f t="shared" si="11"/>
        <v>113792</v>
      </c>
      <c r="E98" s="57">
        <f>(E29*0.75)+(E30*0.25)</f>
        <v>1948</v>
      </c>
      <c r="F98" s="7" t="s">
        <v>526</v>
      </c>
      <c r="G98" s="135"/>
      <c r="H98" s="135"/>
      <c r="I98" s="135">
        <v>0.75</v>
      </c>
      <c r="J98" s="135">
        <v>0.25</v>
      </c>
      <c r="K98" s="135"/>
      <c r="L98" s="135"/>
      <c r="M98" s="135"/>
      <c r="N98" s="135"/>
      <c r="O98" s="135"/>
      <c r="P98" s="141" t="str">
        <f t="shared" si="12"/>
        <v/>
      </c>
      <c r="Q98" s="6"/>
    </row>
    <row r="99" spans="1:17">
      <c r="A99" s="3" t="s">
        <v>499</v>
      </c>
      <c r="B99" s="10" t="s">
        <v>478</v>
      </c>
      <c r="C99" s="13">
        <v>1</v>
      </c>
      <c r="D99" s="27">
        <v>0</v>
      </c>
      <c r="F99" s="4"/>
    </row>
    <row r="100" spans="1:17">
      <c r="A100" s="6" t="s">
        <v>1065</v>
      </c>
      <c r="B100" s="28" t="s">
        <v>1066</v>
      </c>
      <c r="C100" s="29">
        <f>(((E51*F51)/20)/E51)</f>
        <v>5.25</v>
      </c>
      <c r="D100" s="30"/>
      <c r="E100" s="144"/>
      <c r="F100" s="31"/>
    </row>
    <row r="101" spans="1:17">
      <c r="F101" s="4"/>
    </row>
    <row r="102" spans="1:17" s="11" customFormat="1">
      <c r="A102" s="3"/>
      <c r="B102" s="10"/>
      <c r="C102" s="13"/>
      <c r="D102" s="3"/>
      <c r="E102" s="3"/>
      <c r="F102" s="4"/>
    </row>
    <row r="103" spans="1:17">
      <c r="A103" s="6" t="s">
        <v>610</v>
      </c>
      <c r="D103" s="414" t="s">
        <v>183</v>
      </c>
      <c r="E103" s="414"/>
      <c r="F103" s="414"/>
    </row>
    <row r="104" spans="1:17">
      <c r="D104" s="414" t="s">
        <v>183</v>
      </c>
      <c r="E104" s="414"/>
      <c r="F104" s="414"/>
      <c r="J104" s="145"/>
      <c r="L104" s="146"/>
      <c r="M104" s="145"/>
    </row>
    <row r="105" spans="1:17" ht="12" thickBot="1">
      <c r="A105" s="3" t="s">
        <v>817</v>
      </c>
      <c r="B105" s="37" t="s">
        <v>906</v>
      </c>
      <c r="D105" s="17" t="s">
        <v>74</v>
      </c>
      <c r="E105" s="17" t="s">
        <v>476</v>
      </c>
      <c r="F105" s="17" t="s">
        <v>498</v>
      </c>
      <c r="J105" s="145"/>
      <c r="L105" s="146"/>
      <c r="M105" s="145"/>
    </row>
    <row r="106" spans="1:17">
      <c r="A106" s="3" t="s">
        <v>1044</v>
      </c>
      <c r="B106" s="37" t="s">
        <v>1045</v>
      </c>
      <c r="C106" s="3"/>
      <c r="D106" s="69" t="s">
        <v>905</v>
      </c>
      <c r="E106" s="68"/>
      <c r="F106" s="70">
        <v>0</v>
      </c>
      <c r="J106" s="145"/>
      <c r="L106" s="146"/>
      <c r="M106" s="145"/>
    </row>
    <row r="107" spans="1:17">
      <c r="A107" s="3" t="s">
        <v>1046</v>
      </c>
      <c r="B107" s="37" t="s">
        <v>1047</v>
      </c>
      <c r="C107" s="3"/>
      <c r="D107" s="71" t="s">
        <v>184</v>
      </c>
      <c r="E107" s="14">
        <v>1</v>
      </c>
      <c r="F107" s="72">
        <v>0.02</v>
      </c>
      <c r="J107" s="145"/>
      <c r="L107" s="146"/>
      <c r="M107" s="145"/>
    </row>
    <row r="108" spans="1:17">
      <c r="A108" s="3" t="s">
        <v>823</v>
      </c>
      <c r="B108" s="37" t="s">
        <v>824</v>
      </c>
      <c r="C108" s="3"/>
      <c r="D108" s="71" t="s">
        <v>991</v>
      </c>
      <c r="E108" s="14">
        <v>2</v>
      </c>
      <c r="F108" s="72">
        <v>0.03</v>
      </c>
      <c r="J108" s="147"/>
      <c r="L108" s="148"/>
      <c r="M108" s="147"/>
    </row>
    <row r="109" spans="1:17">
      <c r="A109" s="3" t="s">
        <v>821</v>
      </c>
      <c r="B109" s="37" t="s">
        <v>822</v>
      </c>
      <c r="C109" s="3"/>
      <c r="D109" s="71" t="s">
        <v>992</v>
      </c>
      <c r="E109" s="14">
        <v>3</v>
      </c>
      <c r="F109" s="72">
        <v>0.04</v>
      </c>
      <c r="L109" s="146"/>
    </row>
    <row r="110" spans="1:17">
      <c r="A110" s="3" t="s">
        <v>1048</v>
      </c>
      <c r="B110" s="37" t="s">
        <v>1049</v>
      </c>
      <c r="D110" s="71" t="s">
        <v>993</v>
      </c>
      <c r="E110" s="14">
        <v>4</v>
      </c>
      <c r="F110" s="72">
        <v>0.05</v>
      </c>
    </row>
    <row r="111" spans="1:17">
      <c r="A111" s="3" t="s">
        <v>819</v>
      </c>
      <c r="B111" s="37" t="s">
        <v>820</v>
      </c>
      <c r="C111" s="3"/>
      <c r="D111" s="71" t="s">
        <v>994</v>
      </c>
      <c r="E111" s="14">
        <v>5</v>
      </c>
      <c r="F111" s="72">
        <v>0.06</v>
      </c>
      <c r="J111" s="145"/>
      <c r="L111" s="146"/>
      <c r="M111" s="145"/>
    </row>
    <row r="112" spans="1:17">
      <c r="A112" s="3" t="s">
        <v>1032</v>
      </c>
      <c r="B112" s="37" t="s">
        <v>1033</v>
      </c>
      <c r="D112" s="71" t="s">
        <v>995</v>
      </c>
      <c r="E112" s="14">
        <v>6</v>
      </c>
      <c r="F112" s="72">
        <v>0.08</v>
      </c>
      <c r="J112" s="145"/>
      <c r="L112" s="146"/>
      <c r="M112" s="145"/>
    </row>
    <row r="113" spans="1:13">
      <c r="A113" s="3" t="s">
        <v>1042</v>
      </c>
      <c r="B113" s="37" t="s">
        <v>1043</v>
      </c>
      <c r="D113" s="71" t="s">
        <v>996</v>
      </c>
      <c r="E113" s="14">
        <v>7</v>
      </c>
      <c r="F113" s="72">
        <v>0.09</v>
      </c>
      <c r="J113" s="145"/>
      <c r="L113" s="146"/>
      <c r="M113" s="145"/>
    </row>
    <row r="114" spans="1:13">
      <c r="A114" s="3" t="s">
        <v>818</v>
      </c>
      <c r="B114" s="37" t="s">
        <v>818</v>
      </c>
      <c r="D114" s="71" t="s">
        <v>1009</v>
      </c>
      <c r="E114" s="14">
        <v>8</v>
      </c>
      <c r="F114" s="72">
        <v>0.13</v>
      </c>
      <c r="J114" s="147"/>
      <c r="L114" s="146"/>
      <c r="M114" s="147"/>
    </row>
    <row r="115" spans="1:13" ht="12" thickBot="1">
      <c r="A115" s="3" t="s">
        <v>1036</v>
      </c>
      <c r="B115" s="37" t="s">
        <v>1037</v>
      </c>
      <c r="C115" s="3"/>
      <c r="D115" s="73" t="s">
        <v>364</v>
      </c>
      <c r="E115" s="74">
        <v>9</v>
      </c>
      <c r="F115" s="75">
        <v>0.17</v>
      </c>
    </row>
    <row r="116" spans="1:13">
      <c r="A116" s="3" t="s">
        <v>1034</v>
      </c>
      <c r="B116" s="37" t="s">
        <v>1035</v>
      </c>
      <c r="I116" s="149"/>
    </row>
    <row r="117" spans="1:13">
      <c r="A117" s="3" t="s">
        <v>1038</v>
      </c>
      <c r="B117" s="37" t="s">
        <v>1039</v>
      </c>
      <c r="C117" s="3"/>
      <c r="D117" s="10"/>
      <c r="E117" s="10"/>
      <c r="F117" s="3"/>
      <c r="I117" s="149"/>
    </row>
    <row r="118" spans="1:13">
      <c r="A118" s="3" t="s">
        <v>1040</v>
      </c>
      <c r="B118" s="37" t="s">
        <v>1041</v>
      </c>
    </row>
    <row r="120" spans="1:13" ht="12.75">
      <c r="A120" t="s">
        <v>15</v>
      </c>
    </row>
    <row r="121" spans="1:13" ht="12.75">
      <c r="A121" t="s">
        <v>13</v>
      </c>
    </row>
    <row r="122" spans="1:13" ht="12.75">
      <c r="A122" t="s">
        <v>14</v>
      </c>
    </row>
    <row r="124" spans="1:13" ht="12" thickBot="1">
      <c r="A124" s="222" t="s">
        <v>831</v>
      </c>
      <c r="B124" s="223"/>
      <c r="C124" s="34"/>
      <c r="D124" s="34"/>
    </row>
    <row r="125" spans="1:13">
      <c r="A125" s="224" t="s">
        <v>157</v>
      </c>
      <c r="B125" s="225"/>
      <c r="C125" s="34"/>
      <c r="D125" s="34"/>
    </row>
    <row r="126" spans="1:13">
      <c r="A126" s="226" t="s">
        <v>205</v>
      </c>
      <c r="B126" s="227">
        <v>1778</v>
      </c>
      <c r="C126" s="35"/>
      <c r="D126" s="35"/>
    </row>
    <row r="127" spans="1:13" ht="12" thickBot="1">
      <c r="A127" s="228"/>
      <c r="B127" s="229"/>
      <c r="C127" s="34"/>
      <c r="D127" s="34"/>
    </row>
    <row r="130" spans="1:8">
      <c r="A130" s="3" t="s">
        <v>365</v>
      </c>
    </row>
    <row r="131" spans="1:8">
      <c r="A131" s="3" t="s">
        <v>252</v>
      </c>
    </row>
    <row r="133" spans="1:8">
      <c r="A133" s="3">
        <v>4</v>
      </c>
    </row>
    <row r="135" spans="1:8" s="1" customFormat="1">
      <c r="A135" s="185"/>
      <c r="B135" s="185" t="s">
        <v>16</v>
      </c>
      <c r="C135" s="186" t="s">
        <v>730</v>
      </c>
      <c r="D135" s="185" t="s">
        <v>730</v>
      </c>
      <c r="E135" s="185" t="s">
        <v>18</v>
      </c>
      <c r="F135" s="187" t="s">
        <v>733</v>
      </c>
      <c r="G135" s="185" t="s">
        <v>19</v>
      </c>
    </row>
    <row r="136" spans="1:8" s="1" customFormat="1">
      <c r="A136" s="185"/>
      <c r="B136" s="187"/>
      <c r="C136" s="186" t="s">
        <v>17</v>
      </c>
      <c r="D136" s="185" t="s">
        <v>731</v>
      </c>
      <c r="E136" s="185" t="s">
        <v>732</v>
      </c>
      <c r="F136" s="187"/>
      <c r="G136" s="185"/>
    </row>
    <row r="137" spans="1:8">
      <c r="A137" s="6" t="s">
        <v>944</v>
      </c>
      <c r="B137" s="10">
        <v>1.1198999999999999</v>
      </c>
    </row>
    <row r="138" spans="1:8">
      <c r="A138" s="182" t="s">
        <v>83</v>
      </c>
      <c r="B138" s="182" t="s">
        <v>81</v>
      </c>
      <c r="C138" s="183">
        <f t="shared" ref="C138:C143" si="13">D138/E138</f>
        <v>47.014084507042256</v>
      </c>
      <c r="D138" s="182">
        <v>90126</v>
      </c>
      <c r="E138" s="182">
        <v>1917</v>
      </c>
      <c r="F138" s="184">
        <f t="shared" ref="F138:F143" si="14">C138*CANXRATE</f>
        <v>47.648774647887329</v>
      </c>
      <c r="G138" s="182">
        <f t="shared" ref="G138:G143" si="15">F138*AUXRATE</f>
        <v>53.361862728169015</v>
      </c>
      <c r="H138" s="3" t="s">
        <v>90</v>
      </c>
    </row>
    <row r="139" spans="1:8">
      <c r="A139" s="182" t="s">
        <v>84</v>
      </c>
      <c r="B139" s="182" t="s">
        <v>85</v>
      </c>
      <c r="C139" s="183">
        <f t="shared" si="13"/>
        <v>51.32816408204102</v>
      </c>
      <c r="D139" s="182">
        <v>102605</v>
      </c>
      <c r="E139" s="182">
        <v>1999</v>
      </c>
      <c r="F139" s="184">
        <f t="shared" si="14"/>
        <v>52.021094297148579</v>
      </c>
      <c r="G139" s="182">
        <f t="shared" si="15"/>
        <v>58.25842350337669</v>
      </c>
      <c r="H139" s="3" t="s">
        <v>90</v>
      </c>
    </row>
    <row r="140" spans="1:8">
      <c r="A140" s="182" t="s">
        <v>86</v>
      </c>
      <c r="B140" s="182" t="s">
        <v>87</v>
      </c>
      <c r="C140" s="183">
        <f t="shared" si="13"/>
        <v>60.141070535267637</v>
      </c>
      <c r="D140" s="182">
        <v>120222</v>
      </c>
      <c r="E140" s="182">
        <v>1999</v>
      </c>
      <c r="F140" s="184">
        <f t="shared" si="14"/>
        <v>60.952974987493754</v>
      </c>
      <c r="G140" s="182">
        <f t="shared" si="15"/>
        <v>68.26123668849425</v>
      </c>
      <c r="H140" s="3" t="s">
        <v>90</v>
      </c>
    </row>
    <row r="141" spans="1:8">
      <c r="A141" s="182" t="s">
        <v>88</v>
      </c>
      <c r="B141" s="182" t="s">
        <v>89</v>
      </c>
      <c r="C141" s="183">
        <f t="shared" si="13"/>
        <v>65.314299197734783</v>
      </c>
      <c r="D141" s="182">
        <v>138401</v>
      </c>
      <c r="E141" s="182">
        <v>2119</v>
      </c>
      <c r="F141" s="184">
        <f t="shared" si="14"/>
        <v>66.196042236904205</v>
      </c>
      <c r="G141" s="182">
        <f t="shared" si="15"/>
        <v>74.132947701109018</v>
      </c>
      <c r="H141" s="3" t="s">
        <v>90</v>
      </c>
    </row>
    <row r="142" spans="1:8">
      <c r="A142" s="182" t="s">
        <v>91</v>
      </c>
      <c r="B142" s="182" t="s">
        <v>93</v>
      </c>
      <c r="C142" s="183">
        <f t="shared" si="13"/>
        <v>78.319018404907979</v>
      </c>
      <c r="D142" s="182">
        <v>165958</v>
      </c>
      <c r="E142" s="182">
        <v>2119</v>
      </c>
      <c r="F142" s="184">
        <f t="shared" si="14"/>
        <v>79.376325153374239</v>
      </c>
      <c r="G142" s="182">
        <f t="shared" si="15"/>
        <v>88.893546539263795</v>
      </c>
      <c r="H142" s="3" t="s">
        <v>90</v>
      </c>
    </row>
    <row r="143" spans="1:8">
      <c r="A143" s="182" t="s">
        <v>92</v>
      </c>
      <c r="B143" s="182" t="s">
        <v>94</v>
      </c>
      <c r="C143" s="183">
        <f t="shared" si="13"/>
        <v>99.967909391222278</v>
      </c>
      <c r="D143" s="182">
        <v>211832</v>
      </c>
      <c r="E143" s="182">
        <v>2119</v>
      </c>
      <c r="F143" s="184">
        <f t="shared" si="14"/>
        <v>101.31747616800378</v>
      </c>
      <c r="G143" s="182">
        <f t="shared" si="15"/>
        <v>113.46544156054742</v>
      </c>
      <c r="H143" s="3" t="s">
        <v>90</v>
      </c>
    </row>
    <row r="144" spans="1:8">
      <c r="A144" s="182" t="s">
        <v>411</v>
      </c>
      <c r="B144" s="182" t="s">
        <v>412</v>
      </c>
      <c r="C144" s="183">
        <f t="shared" ref="C144:C190" si="16">D144/E144</f>
        <v>0.61247216035634744</v>
      </c>
      <c r="D144" s="182">
        <v>1100</v>
      </c>
      <c r="E144" s="182">
        <v>1796</v>
      </c>
      <c r="F144" s="184">
        <f>D144/SPOT/E144</f>
        <v>23.373231581298558</v>
      </c>
      <c r="G144" s="182">
        <f t="shared" ref="G144:G190" si="17">F144*AUXRATE</f>
        <v>26.175682047896252</v>
      </c>
      <c r="H144" s="3" t="s">
        <v>182</v>
      </c>
    </row>
    <row r="145" spans="1:8">
      <c r="A145" s="182" t="s">
        <v>413</v>
      </c>
      <c r="B145" s="182" t="s">
        <v>414</v>
      </c>
      <c r="C145" s="183">
        <f t="shared" si="16"/>
        <v>0.7951002227171492</v>
      </c>
      <c r="D145" s="182">
        <v>1428</v>
      </c>
      <c r="E145" s="182">
        <v>1796</v>
      </c>
      <c r="F145" s="184">
        <f>D145/SPOT/E145</f>
        <v>30.342704270994854</v>
      </c>
      <c r="G145" s="182">
        <f t="shared" si="17"/>
        <v>33.980794513087133</v>
      </c>
      <c r="H145" s="3" t="s">
        <v>182</v>
      </c>
    </row>
    <row r="146" spans="1:8">
      <c r="A146" s="182" t="s">
        <v>415</v>
      </c>
      <c r="B146" s="182" t="s">
        <v>416</v>
      </c>
      <c r="C146" s="183">
        <f t="shared" si="16"/>
        <v>1.1486636971046771</v>
      </c>
      <c r="D146" s="182">
        <v>2063</v>
      </c>
      <c r="E146" s="182">
        <v>1796</v>
      </c>
      <c r="F146" s="184">
        <f>D146/SPOT/E146</f>
        <v>43.835433411108106</v>
      </c>
      <c r="G146" s="182">
        <f t="shared" si="17"/>
        <v>49.091301877099966</v>
      </c>
      <c r="H146" s="3" t="s">
        <v>182</v>
      </c>
    </row>
    <row r="147" spans="1:8">
      <c r="A147" s="182" t="s">
        <v>417</v>
      </c>
      <c r="B147" s="182" t="s">
        <v>418</v>
      </c>
      <c r="C147" s="183">
        <f t="shared" si="16"/>
        <v>1.9259465478841871</v>
      </c>
      <c r="D147" s="182">
        <v>3459</v>
      </c>
      <c r="E147" s="182">
        <v>1796</v>
      </c>
      <c r="F147" s="184">
        <f>D147/SPOT/E147</f>
        <v>73.498189127010647</v>
      </c>
      <c r="G147" s="182">
        <f t="shared" si="17"/>
        <v>82.310622003339219</v>
      </c>
      <c r="H147" s="3" t="s">
        <v>182</v>
      </c>
    </row>
    <row r="148" spans="1:8">
      <c r="A148" s="44" t="s">
        <v>123</v>
      </c>
      <c r="B148" s="217" t="s">
        <v>814</v>
      </c>
      <c r="C148" s="218">
        <f t="shared" ref="C148:C153" si="18">D148/E148</f>
        <v>341.98673469387757</v>
      </c>
      <c r="D148" s="217">
        <v>670294</v>
      </c>
      <c r="E148" s="217">
        <v>1960</v>
      </c>
      <c r="F148" s="219">
        <f t="shared" ref="F148:F153" si="19">C148/INXRATE</f>
        <v>8.4439084144558798</v>
      </c>
      <c r="G148" s="217">
        <f t="shared" si="17"/>
        <v>9.4563330333491393</v>
      </c>
      <c r="H148" s="3" t="s">
        <v>822</v>
      </c>
    </row>
    <row r="149" spans="1:8">
      <c r="A149" s="44" t="s">
        <v>113</v>
      </c>
      <c r="B149" s="217" t="s">
        <v>114</v>
      </c>
      <c r="C149" s="218">
        <f t="shared" si="18"/>
        <v>414.08928571428572</v>
      </c>
      <c r="D149" s="217">
        <v>811615</v>
      </c>
      <c r="E149" s="217">
        <v>1960</v>
      </c>
      <c r="F149" s="219">
        <f t="shared" si="19"/>
        <v>10.224174359010537</v>
      </c>
      <c r="G149" s="217">
        <f t="shared" si="17"/>
        <v>11.450052864655898</v>
      </c>
      <c r="H149" s="3" t="s">
        <v>822</v>
      </c>
    </row>
    <row r="150" spans="1:8">
      <c r="A150" s="44" t="s">
        <v>115</v>
      </c>
      <c r="B150" s="217" t="s">
        <v>116</v>
      </c>
      <c r="C150" s="218">
        <f t="shared" si="18"/>
        <v>570.33265306122451</v>
      </c>
      <c r="D150" s="217">
        <v>1117852</v>
      </c>
      <c r="E150" s="217">
        <v>1960</v>
      </c>
      <c r="F150" s="219">
        <f t="shared" si="19"/>
        <v>14.081940027683872</v>
      </c>
      <c r="G150" s="217">
        <f t="shared" si="17"/>
        <v>15.770364637003167</v>
      </c>
      <c r="H150" s="3" t="s">
        <v>822</v>
      </c>
    </row>
    <row r="151" spans="1:8">
      <c r="A151" s="44" t="s">
        <v>117</v>
      </c>
      <c r="B151" s="217" t="s">
        <v>118</v>
      </c>
      <c r="C151" s="218">
        <f t="shared" si="18"/>
        <v>885.355612244898</v>
      </c>
      <c r="D151" s="217">
        <v>1735297</v>
      </c>
      <c r="E151" s="217">
        <v>1960</v>
      </c>
      <c r="F151" s="219">
        <f t="shared" si="19"/>
        <v>21.860092645734625</v>
      </c>
      <c r="G151" s="217">
        <f t="shared" si="17"/>
        <v>24.481117753958205</v>
      </c>
      <c r="H151" s="3" t="s">
        <v>822</v>
      </c>
    </row>
    <row r="152" spans="1:8">
      <c r="A152" s="44" t="s">
        <v>119</v>
      </c>
      <c r="B152" s="217" t="s">
        <v>120</v>
      </c>
      <c r="C152" s="218">
        <f t="shared" si="18"/>
        <v>1643.35</v>
      </c>
      <c r="D152" s="217">
        <v>3220966</v>
      </c>
      <c r="E152" s="217">
        <v>1960</v>
      </c>
      <c r="F152" s="219">
        <f t="shared" si="19"/>
        <v>40.575541344658156</v>
      </c>
      <c r="G152" s="217">
        <f t="shared" si="17"/>
        <v>45.440548751882666</v>
      </c>
      <c r="H152" s="3" t="s">
        <v>822</v>
      </c>
    </row>
    <row r="153" spans="1:8">
      <c r="A153" s="44" t="s">
        <v>121</v>
      </c>
      <c r="B153" s="217" t="s">
        <v>122</v>
      </c>
      <c r="C153" s="218">
        <f t="shared" si="18"/>
        <v>2015.4428571428571</v>
      </c>
      <c r="D153" s="217">
        <v>3950268</v>
      </c>
      <c r="E153" s="217">
        <v>1960</v>
      </c>
      <c r="F153" s="219">
        <f t="shared" si="19"/>
        <v>49.762792453096395</v>
      </c>
      <c r="G153" s="217">
        <f t="shared" si="17"/>
        <v>55.729351268222651</v>
      </c>
      <c r="H153" s="3" t="s">
        <v>822</v>
      </c>
    </row>
    <row r="154" spans="1:8">
      <c r="A154" s="80" t="s">
        <v>739</v>
      </c>
      <c r="B154" s="182" t="s">
        <v>405</v>
      </c>
      <c r="C154" s="183">
        <f t="shared" si="16"/>
        <v>128.54817073170733</v>
      </c>
      <c r="D154" s="182">
        <v>210819</v>
      </c>
      <c r="E154" s="182">
        <v>1640</v>
      </c>
      <c r="F154" s="184">
        <f t="shared" ref="F154:F159" si="20">C154/NEDXRATE</f>
        <v>189.04142754662843</v>
      </c>
      <c r="G154" s="182">
        <f t="shared" si="17"/>
        <v>211.70749470946916</v>
      </c>
      <c r="H154" s="3" t="s">
        <v>420</v>
      </c>
    </row>
    <row r="155" spans="1:8">
      <c r="A155" s="80" t="s">
        <v>734</v>
      </c>
      <c r="B155" s="182" t="s">
        <v>406</v>
      </c>
      <c r="C155" s="183">
        <f t="shared" si="16"/>
        <v>55.142682926829266</v>
      </c>
      <c r="D155" s="182">
        <v>90434</v>
      </c>
      <c r="E155" s="182">
        <v>1640</v>
      </c>
      <c r="F155" s="184">
        <f t="shared" si="20"/>
        <v>81.092180774748911</v>
      </c>
      <c r="G155" s="182">
        <f t="shared" si="17"/>
        <v>90.815133249641292</v>
      </c>
      <c r="H155" s="3" t="s">
        <v>420</v>
      </c>
    </row>
    <row r="156" spans="1:8">
      <c r="A156" s="80" t="s">
        <v>735</v>
      </c>
      <c r="B156" s="182" t="s">
        <v>407</v>
      </c>
      <c r="C156" s="183">
        <f t="shared" si="16"/>
        <v>64.924390243902437</v>
      </c>
      <c r="D156" s="182">
        <v>106476</v>
      </c>
      <c r="E156" s="182">
        <v>1640</v>
      </c>
      <c r="F156" s="184">
        <f t="shared" si="20"/>
        <v>95.477044476327109</v>
      </c>
      <c r="G156" s="182">
        <f t="shared" si="17"/>
        <v>106.92474210903872</v>
      </c>
      <c r="H156" s="3" t="s">
        <v>420</v>
      </c>
    </row>
    <row r="157" spans="1:8">
      <c r="A157" s="80" t="s">
        <v>736</v>
      </c>
      <c r="B157" s="182" t="s">
        <v>408</v>
      </c>
      <c r="C157" s="183">
        <f t="shared" si="16"/>
        <v>70.892682926829266</v>
      </c>
      <c r="D157" s="182">
        <v>116264</v>
      </c>
      <c r="E157" s="182">
        <v>1640</v>
      </c>
      <c r="F157" s="184">
        <f t="shared" si="20"/>
        <v>104.25394548063127</v>
      </c>
      <c r="G157" s="182">
        <f t="shared" si="17"/>
        <v>116.75399354375895</v>
      </c>
      <c r="H157" s="3" t="s">
        <v>420</v>
      </c>
    </row>
    <row r="158" spans="1:8">
      <c r="A158" s="80" t="s">
        <v>737</v>
      </c>
      <c r="B158" s="182" t="s">
        <v>409</v>
      </c>
      <c r="C158" s="183">
        <f t="shared" si="16"/>
        <v>82.260975609756102</v>
      </c>
      <c r="D158" s="182">
        <v>134908</v>
      </c>
      <c r="E158" s="182">
        <v>1640</v>
      </c>
      <c r="F158" s="184">
        <f t="shared" si="20"/>
        <v>120.97202295552367</v>
      </c>
      <c r="G158" s="182">
        <f t="shared" si="17"/>
        <v>135.47656850789093</v>
      </c>
      <c r="H158" s="3" t="s">
        <v>420</v>
      </c>
    </row>
    <row r="159" spans="1:8">
      <c r="A159" s="80" t="s">
        <v>738</v>
      </c>
      <c r="B159" s="182" t="s">
        <v>410</v>
      </c>
      <c r="C159" s="183">
        <f t="shared" si="16"/>
        <v>97.97682926829269</v>
      </c>
      <c r="D159" s="182">
        <v>160682</v>
      </c>
      <c r="E159" s="182">
        <v>1640</v>
      </c>
      <c r="F159" s="184">
        <f t="shared" si="20"/>
        <v>144.0835724533716</v>
      </c>
      <c r="G159" s="182">
        <f t="shared" si="17"/>
        <v>161.35919279053084</v>
      </c>
      <c r="H159" s="3" t="s">
        <v>420</v>
      </c>
    </row>
    <row r="160" spans="1:8">
      <c r="A160" s="182" t="s">
        <v>744</v>
      </c>
      <c r="B160" s="184" t="s">
        <v>400</v>
      </c>
      <c r="C160" s="183">
        <f t="shared" si="16"/>
        <v>292.33589743589744</v>
      </c>
      <c r="D160" s="182">
        <v>456044</v>
      </c>
      <c r="E160" s="182">
        <v>1560</v>
      </c>
      <c r="F160" s="184">
        <f>C160*SGXRATE</f>
        <v>417.42642794871796</v>
      </c>
      <c r="G160" s="182">
        <f t="shared" si="17"/>
        <v>467.47585665976919</v>
      </c>
      <c r="H160" s="3" t="s">
        <v>1035</v>
      </c>
    </row>
    <row r="161" spans="1:8">
      <c r="A161" s="182" t="s">
        <v>740</v>
      </c>
      <c r="B161" s="182" t="s">
        <v>401</v>
      </c>
      <c r="C161" s="183">
        <f t="shared" si="16"/>
        <v>61.706730769230766</v>
      </c>
      <c r="D161" s="182">
        <v>115515</v>
      </c>
      <c r="E161" s="182">
        <v>1872</v>
      </c>
      <c r="F161" s="184">
        <f>C161*SGXRATE</f>
        <v>88.111040865384609</v>
      </c>
      <c r="G161" s="182">
        <f t="shared" si="17"/>
        <v>98.675554665144219</v>
      </c>
      <c r="H161" s="3" t="s">
        <v>1035</v>
      </c>
    </row>
    <row r="162" spans="1:8">
      <c r="A162" s="182" t="s">
        <v>741</v>
      </c>
      <c r="B162" s="182" t="s">
        <v>402</v>
      </c>
      <c r="C162" s="183">
        <f t="shared" si="16"/>
        <v>83.952991452991455</v>
      </c>
      <c r="D162" s="182">
        <v>157160</v>
      </c>
      <c r="E162" s="182">
        <v>1872</v>
      </c>
      <c r="F162" s="184">
        <f>C162*SGXRATE</f>
        <v>119.87647649572649</v>
      </c>
      <c r="G162" s="182">
        <f t="shared" si="17"/>
        <v>134.24966602756407</v>
      </c>
      <c r="H162" s="3" t="s">
        <v>1035</v>
      </c>
    </row>
    <row r="163" spans="1:8">
      <c r="A163" s="182" t="s">
        <v>742</v>
      </c>
      <c r="B163" s="184" t="s">
        <v>403</v>
      </c>
      <c r="C163" s="183">
        <f t="shared" si="16"/>
        <v>132.00360576923077</v>
      </c>
      <c r="D163" s="182">
        <v>219654</v>
      </c>
      <c r="E163" s="182">
        <v>1664</v>
      </c>
      <c r="F163" s="184">
        <f>C163*SGXRATE</f>
        <v>188.48794867788462</v>
      </c>
      <c r="G163" s="182">
        <f t="shared" si="17"/>
        <v>211.08765372436295</v>
      </c>
      <c r="H163" s="3" t="s">
        <v>1035</v>
      </c>
    </row>
    <row r="164" spans="1:8">
      <c r="A164" s="182" t="s">
        <v>743</v>
      </c>
      <c r="B164" s="182" t="s">
        <v>404</v>
      </c>
      <c r="C164" s="183">
        <f t="shared" si="16"/>
        <v>207.06217948717949</v>
      </c>
      <c r="D164" s="182">
        <v>323017</v>
      </c>
      <c r="E164" s="182">
        <v>1560</v>
      </c>
      <c r="F164" s="184">
        <f>C164*SGXRATE</f>
        <v>295.66408608974359</v>
      </c>
      <c r="G164" s="182">
        <f t="shared" si="17"/>
        <v>331.11421001190382</v>
      </c>
      <c r="H164" s="3" t="s">
        <v>1035</v>
      </c>
    </row>
    <row r="165" spans="1:8">
      <c r="A165" s="182" t="s">
        <v>378</v>
      </c>
      <c r="B165" s="182" t="s">
        <v>393</v>
      </c>
      <c r="C165" s="183">
        <f t="shared" si="16"/>
        <v>310.66000000000003</v>
      </c>
      <c r="D165" s="182">
        <v>512589</v>
      </c>
      <c r="E165" s="182">
        <v>1650</v>
      </c>
      <c r="F165" s="184">
        <f t="shared" ref="F165:F171" si="21">C165/SAXRATE</f>
        <v>37.256101217245309</v>
      </c>
      <c r="G165" s="182">
        <f t="shared" si="17"/>
        <v>41.72310775319302</v>
      </c>
      <c r="H165" s="3" t="s">
        <v>421</v>
      </c>
    </row>
    <row r="166" spans="1:8">
      <c r="A166" s="182" t="s">
        <v>379</v>
      </c>
      <c r="B166" s="182" t="s">
        <v>394</v>
      </c>
      <c r="C166" s="183">
        <f t="shared" si="16"/>
        <v>355.24242424242425</v>
      </c>
      <c r="D166" s="182">
        <v>586150</v>
      </c>
      <c r="E166" s="182">
        <v>1650</v>
      </c>
      <c r="F166" s="184">
        <f t="shared" si="21"/>
        <v>42.602677249196411</v>
      </c>
      <c r="G166" s="182">
        <f t="shared" si="17"/>
        <v>47.710738251375055</v>
      </c>
      <c r="H166" s="3" t="s">
        <v>421</v>
      </c>
    </row>
    <row r="167" spans="1:8">
      <c r="A167" s="182" t="s">
        <v>377</v>
      </c>
      <c r="B167" s="182" t="s">
        <v>395</v>
      </c>
      <c r="C167" s="183">
        <f t="shared" si="16"/>
        <v>527.9163636363636</v>
      </c>
      <c r="D167" s="182">
        <v>871062</v>
      </c>
      <c r="E167" s="182">
        <v>1650</v>
      </c>
      <c r="F167" s="184">
        <f t="shared" si="21"/>
        <v>63.310710995546394</v>
      </c>
      <c r="G167" s="182">
        <f t="shared" si="17"/>
        <v>70.901665243912404</v>
      </c>
      <c r="H167" s="3" t="s">
        <v>421</v>
      </c>
    </row>
    <row r="168" spans="1:8">
      <c r="A168" s="182" t="s">
        <v>375</v>
      </c>
      <c r="B168" s="182" t="s">
        <v>396</v>
      </c>
      <c r="C168" s="183">
        <f t="shared" si="16"/>
        <v>527.9163636363636</v>
      </c>
      <c r="D168" s="182">
        <v>871062</v>
      </c>
      <c r="E168" s="182">
        <v>1650</v>
      </c>
      <c r="F168" s="184">
        <f t="shared" si="21"/>
        <v>63.310710995546394</v>
      </c>
      <c r="G168" s="182">
        <f t="shared" si="17"/>
        <v>70.901665243912404</v>
      </c>
      <c r="H168" s="3" t="s">
        <v>421</v>
      </c>
    </row>
    <row r="169" spans="1:8">
      <c r="A169" s="182" t="s">
        <v>375</v>
      </c>
      <c r="B169" s="182" t="s">
        <v>397</v>
      </c>
      <c r="C169" s="183">
        <f t="shared" si="16"/>
        <v>586.14060606060605</v>
      </c>
      <c r="D169" s="182">
        <v>967132</v>
      </c>
      <c r="E169" s="182">
        <v>1650</v>
      </c>
      <c r="F169" s="184">
        <f t="shared" si="21"/>
        <v>70.293290886922833</v>
      </c>
      <c r="G169" s="182">
        <f t="shared" si="17"/>
        <v>78.721456464264875</v>
      </c>
      <c r="H169" s="3" t="s">
        <v>421</v>
      </c>
    </row>
    <row r="170" spans="1:8">
      <c r="A170" s="182" t="s">
        <v>376</v>
      </c>
      <c r="B170" s="182" t="s">
        <v>398</v>
      </c>
      <c r="C170" s="183">
        <f t="shared" si="16"/>
        <v>527.9163636363636</v>
      </c>
      <c r="D170" s="182">
        <v>871062</v>
      </c>
      <c r="E170" s="182">
        <v>1650</v>
      </c>
      <c r="F170" s="184">
        <f t="shared" si="21"/>
        <v>63.310710995546394</v>
      </c>
      <c r="G170" s="182">
        <f t="shared" si="17"/>
        <v>70.901665243912404</v>
      </c>
      <c r="H170" s="3" t="s">
        <v>421</v>
      </c>
    </row>
    <row r="171" spans="1:8">
      <c r="A171" s="182" t="s">
        <v>380</v>
      </c>
      <c r="B171" s="182" t="s">
        <v>399</v>
      </c>
      <c r="C171" s="183">
        <f t="shared" si="16"/>
        <v>752.74303030303031</v>
      </c>
      <c r="D171" s="182">
        <v>1242026</v>
      </c>
      <c r="E171" s="182">
        <v>1650</v>
      </c>
      <c r="F171" s="184">
        <f t="shared" si="21"/>
        <v>90.273194255924963</v>
      </c>
      <c r="G171" s="182">
        <f t="shared" si="17"/>
        <v>101.09695024721036</v>
      </c>
      <c r="H171" s="3" t="s">
        <v>421</v>
      </c>
    </row>
    <row r="172" spans="1:8">
      <c r="A172" s="182" t="s">
        <v>96</v>
      </c>
      <c r="B172" s="182" t="s">
        <v>97</v>
      </c>
      <c r="C172" s="183">
        <f t="shared" ref="C172:C178" si="22">D172/E172</f>
        <v>101.71909619515706</v>
      </c>
      <c r="D172" s="182">
        <v>180883</v>
      </c>
      <c r="E172" s="182">
        <v>1778.26</v>
      </c>
      <c r="F172" s="184">
        <f t="shared" ref="F172:F178" si="23">C172/UKXRATE</f>
        <v>200.39223048691304</v>
      </c>
      <c r="G172" s="182">
        <f t="shared" si="17"/>
        <v>224.41925892229389</v>
      </c>
      <c r="H172" s="3" t="s">
        <v>577</v>
      </c>
    </row>
    <row r="173" spans="1:8">
      <c r="A173" s="182" t="s">
        <v>98</v>
      </c>
      <c r="B173" s="182" t="s">
        <v>99</v>
      </c>
      <c r="C173" s="183">
        <f t="shared" si="22"/>
        <v>20.016757954404866</v>
      </c>
      <c r="D173" s="182">
        <v>35595</v>
      </c>
      <c r="E173" s="182">
        <v>1778.26</v>
      </c>
      <c r="F173" s="184">
        <f t="shared" si="23"/>
        <v>39.434117325462694</v>
      </c>
      <c r="G173" s="182">
        <f t="shared" si="17"/>
        <v>44.162267992785665</v>
      </c>
      <c r="H173" s="3" t="s">
        <v>577</v>
      </c>
    </row>
    <row r="174" spans="1:8">
      <c r="A174" s="182" t="s">
        <v>100</v>
      </c>
      <c r="B174" s="182" t="s">
        <v>101</v>
      </c>
      <c r="C174" s="183">
        <f t="shared" si="22"/>
        <v>24.599889779897204</v>
      </c>
      <c r="D174" s="182">
        <v>43745</v>
      </c>
      <c r="E174" s="182">
        <v>1778.26</v>
      </c>
      <c r="F174" s="184">
        <f t="shared" si="23"/>
        <v>48.463139834312848</v>
      </c>
      <c r="G174" s="182">
        <f t="shared" si="17"/>
        <v>54.273870300446951</v>
      </c>
      <c r="H174" s="3" t="s">
        <v>577</v>
      </c>
    </row>
    <row r="175" spans="1:8">
      <c r="A175" s="182" t="s">
        <v>102</v>
      </c>
      <c r="B175" s="182" t="s">
        <v>103</v>
      </c>
      <c r="C175" s="183">
        <f t="shared" si="22"/>
        <v>29.501310269589375</v>
      </c>
      <c r="D175" s="182">
        <v>52461</v>
      </c>
      <c r="E175" s="182">
        <v>1778.26</v>
      </c>
      <c r="F175" s="184">
        <f t="shared" si="23"/>
        <v>58.119208568930993</v>
      </c>
      <c r="G175" s="182">
        <f t="shared" si="17"/>
        <v>65.087701676345816</v>
      </c>
      <c r="H175" s="3" t="s">
        <v>577</v>
      </c>
    </row>
    <row r="176" spans="1:8">
      <c r="A176" s="182" t="s">
        <v>104</v>
      </c>
      <c r="B176" s="182" t="s">
        <v>105</v>
      </c>
      <c r="C176" s="183">
        <f t="shared" si="22"/>
        <v>38.507867241010878</v>
      </c>
      <c r="D176" s="182">
        <v>68477</v>
      </c>
      <c r="E176" s="182">
        <v>1778.26</v>
      </c>
      <c r="F176" s="184">
        <f t="shared" si="23"/>
        <v>75.862622618224734</v>
      </c>
      <c r="G176" s="182">
        <f t="shared" si="17"/>
        <v>84.958551070149866</v>
      </c>
      <c r="H176" s="3" t="s">
        <v>577</v>
      </c>
    </row>
    <row r="177" spans="1:8">
      <c r="A177" s="182" t="s">
        <v>106</v>
      </c>
      <c r="B177" s="182" t="s">
        <v>107</v>
      </c>
      <c r="C177" s="183">
        <f t="shared" si="22"/>
        <v>52.779121163384431</v>
      </c>
      <c r="D177" s="182">
        <v>93855</v>
      </c>
      <c r="E177" s="182">
        <v>1778.26</v>
      </c>
      <c r="F177" s="184">
        <f t="shared" si="23"/>
        <v>103.97778006970927</v>
      </c>
      <c r="G177" s="182">
        <f t="shared" si="17"/>
        <v>116.44471590006739</v>
      </c>
      <c r="H177" s="3" t="s">
        <v>577</v>
      </c>
    </row>
    <row r="178" spans="1:8">
      <c r="A178" s="182" t="s">
        <v>108</v>
      </c>
      <c r="B178" s="182" t="s">
        <v>109</v>
      </c>
      <c r="C178" s="183">
        <f t="shared" si="22"/>
        <v>82.11341423638838</v>
      </c>
      <c r="D178" s="182">
        <v>146019</v>
      </c>
      <c r="E178" s="182">
        <v>1778.26</v>
      </c>
      <c r="F178" s="184">
        <f t="shared" si="23"/>
        <v>161.76795554844045</v>
      </c>
      <c r="G178" s="182">
        <f t="shared" si="17"/>
        <v>181.16393341869843</v>
      </c>
      <c r="H178" s="3" t="s">
        <v>577</v>
      </c>
    </row>
    <row r="179" spans="1:8">
      <c r="A179" s="182" t="s">
        <v>956</v>
      </c>
      <c r="B179" s="182" t="s">
        <v>381</v>
      </c>
      <c r="C179" s="183">
        <f t="shared" si="16"/>
        <v>101.96809523809524</v>
      </c>
      <c r="D179" s="182">
        <v>214133</v>
      </c>
      <c r="E179" s="182">
        <v>2100</v>
      </c>
      <c r="F179" s="184">
        <f t="shared" ref="F179:F190" si="24">C179</f>
        <v>101.96809523809524</v>
      </c>
      <c r="G179" s="182">
        <f t="shared" si="17"/>
        <v>114.19406985714285</v>
      </c>
      <c r="H179" s="3" t="s">
        <v>419</v>
      </c>
    </row>
    <row r="180" spans="1:8">
      <c r="A180" s="182" t="s">
        <v>945</v>
      </c>
      <c r="B180" s="182" t="s">
        <v>382</v>
      </c>
      <c r="C180" s="183">
        <f t="shared" si="16"/>
        <v>55.247179487179487</v>
      </c>
      <c r="D180" s="182">
        <v>107732</v>
      </c>
      <c r="E180" s="182">
        <v>1950</v>
      </c>
      <c r="F180" s="184">
        <f t="shared" si="24"/>
        <v>55.247179487179487</v>
      </c>
      <c r="G180" s="182">
        <f t="shared" si="17"/>
        <v>61.871316307692304</v>
      </c>
      <c r="H180" s="3" t="s">
        <v>419</v>
      </c>
    </row>
    <row r="181" spans="1:8">
      <c r="A181" s="182" t="s">
        <v>946</v>
      </c>
      <c r="B181" s="184" t="s">
        <v>383</v>
      </c>
      <c r="C181" s="183">
        <f t="shared" si="16"/>
        <v>55.589230769230767</v>
      </c>
      <c r="D181" s="182">
        <v>108399</v>
      </c>
      <c r="E181" s="182">
        <v>1950</v>
      </c>
      <c r="F181" s="184">
        <f t="shared" si="24"/>
        <v>55.589230769230767</v>
      </c>
      <c r="G181" s="182">
        <f t="shared" si="17"/>
        <v>62.254379538461528</v>
      </c>
      <c r="H181" s="3" t="s">
        <v>419</v>
      </c>
    </row>
    <row r="182" spans="1:8">
      <c r="A182" s="182" t="s">
        <v>947</v>
      </c>
      <c r="B182" s="182" t="s">
        <v>384</v>
      </c>
      <c r="C182" s="183">
        <f t="shared" si="16"/>
        <v>59.498974358974358</v>
      </c>
      <c r="D182" s="182">
        <v>116023</v>
      </c>
      <c r="E182" s="182">
        <v>1950</v>
      </c>
      <c r="F182" s="184">
        <f t="shared" si="24"/>
        <v>59.498974358974358</v>
      </c>
      <c r="G182" s="182">
        <f t="shared" si="17"/>
        <v>66.63290138461538</v>
      </c>
      <c r="H182" s="3" t="s">
        <v>419</v>
      </c>
    </row>
    <row r="183" spans="1:8">
      <c r="A183" s="182" t="s">
        <v>948</v>
      </c>
      <c r="B183" s="184" t="s">
        <v>385</v>
      </c>
      <c r="C183" s="183">
        <f t="shared" si="16"/>
        <v>59.550256410256409</v>
      </c>
      <c r="D183" s="182">
        <v>116123</v>
      </c>
      <c r="E183" s="182">
        <v>1950</v>
      </c>
      <c r="F183" s="184">
        <f t="shared" si="24"/>
        <v>59.550256410256409</v>
      </c>
      <c r="G183" s="182">
        <f t="shared" si="17"/>
        <v>66.690332153846143</v>
      </c>
      <c r="H183" s="3" t="s">
        <v>419</v>
      </c>
    </row>
    <row r="184" spans="1:8">
      <c r="A184" s="182" t="s">
        <v>949</v>
      </c>
      <c r="B184" s="182" t="s">
        <v>386</v>
      </c>
      <c r="C184" s="183">
        <f t="shared" si="16"/>
        <v>54.087332053742806</v>
      </c>
      <c r="D184" s="182">
        <v>112718</v>
      </c>
      <c r="E184" s="182">
        <v>2084</v>
      </c>
      <c r="F184" s="184">
        <f t="shared" si="24"/>
        <v>54.087332053742806</v>
      </c>
      <c r="G184" s="182">
        <f t="shared" si="17"/>
        <v>60.572403166986561</v>
      </c>
      <c r="H184" s="3" t="s">
        <v>419</v>
      </c>
    </row>
    <row r="185" spans="1:8">
      <c r="A185" s="182" t="s">
        <v>950</v>
      </c>
      <c r="B185" s="184" t="s">
        <v>387</v>
      </c>
      <c r="C185" s="183">
        <f t="shared" si="16"/>
        <v>54.901631477927062</v>
      </c>
      <c r="D185" s="182">
        <v>114415</v>
      </c>
      <c r="E185" s="182">
        <v>2084</v>
      </c>
      <c r="F185" s="184">
        <f t="shared" si="24"/>
        <v>54.901631477927062</v>
      </c>
      <c r="G185" s="182">
        <f t="shared" si="17"/>
        <v>61.484337092130509</v>
      </c>
      <c r="H185" s="3" t="s">
        <v>419</v>
      </c>
    </row>
    <row r="186" spans="1:8">
      <c r="A186" s="182" t="s">
        <v>951</v>
      </c>
      <c r="B186" s="182" t="s">
        <v>388</v>
      </c>
      <c r="C186" s="183">
        <f t="shared" si="16"/>
        <v>56.73704414587332</v>
      </c>
      <c r="D186" s="182">
        <v>118240</v>
      </c>
      <c r="E186" s="182">
        <v>2084</v>
      </c>
      <c r="F186" s="184">
        <f t="shared" si="24"/>
        <v>56.73704414587332</v>
      </c>
      <c r="G186" s="182">
        <f t="shared" si="17"/>
        <v>63.539815738963526</v>
      </c>
      <c r="H186" s="3" t="s">
        <v>419</v>
      </c>
    </row>
    <row r="187" spans="1:8">
      <c r="A187" s="182" t="s">
        <v>952</v>
      </c>
      <c r="B187" s="184" t="s">
        <v>389</v>
      </c>
      <c r="C187" s="183">
        <f t="shared" si="16"/>
        <v>57.433301343570058</v>
      </c>
      <c r="D187" s="182">
        <v>119691</v>
      </c>
      <c r="E187" s="182">
        <v>2084</v>
      </c>
      <c r="F187" s="184">
        <f t="shared" si="24"/>
        <v>57.433301343570058</v>
      </c>
      <c r="G187" s="182">
        <f t="shared" si="17"/>
        <v>64.319554174664106</v>
      </c>
      <c r="H187" s="3" t="s">
        <v>419</v>
      </c>
    </row>
    <row r="188" spans="1:8">
      <c r="A188" s="182" t="s">
        <v>953</v>
      </c>
      <c r="B188" s="182" t="s">
        <v>390</v>
      </c>
      <c r="C188" s="183">
        <f t="shared" si="16"/>
        <v>69.15115163147793</v>
      </c>
      <c r="D188" s="182">
        <v>144111</v>
      </c>
      <c r="E188" s="182">
        <v>2084</v>
      </c>
      <c r="F188" s="184">
        <f t="shared" si="24"/>
        <v>69.15115163147793</v>
      </c>
      <c r="G188" s="182">
        <f t="shared" si="17"/>
        <v>77.442374712092132</v>
      </c>
      <c r="H188" s="3" t="s">
        <v>419</v>
      </c>
    </row>
    <row r="189" spans="1:8">
      <c r="A189" s="182" t="s">
        <v>954</v>
      </c>
      <c r="B189" s="184" t="s">
        <v>391</v>
      </c>
      <c r="C189" s="183">
        <f t="shared" si="16"/>
        <v>69.559021113243759</v>
      </c>
      <c r="D189" s="182">
        <v>144961</v>
      </c>
      <c r="E189" s="182">
        <v>2084</v>
      </c>
      <c r="F189" s="184">
        <f t="shared" si="24"/>
        <v>69.559021113243759</v>
      </c>
      <c r="G189" s="182">
        <f t="shared" si="17"/>
        <v>77.899147744721674</v>
      </c>
      <c r="H189" s="3" t="s">
        <v>419</v>
      </c>
    </row>
    <row r="190" spans="1:8">
      <c r="A190" s="182" t="s">
        <v>955</v>
      </c>
      <c r="B190" s="182" t="s">
        <v>392</v>
      </c>
      <c r="C190" s="183">
        <f t="shared" si="16"/>
        <v>84.929047619047623</v>
      </c>
      <c r="D190" s="182">
        <v>178351</v>
      </c>
      <c r="E190" s="182">
        <v>2100</v>
      </c>
      <c r="F190" s="184">
        <f t="shared" si="24"/>
        <v>84.929047619047623</v>
      </c>
      <c r="G190" s="182">
        <f t="shared" si="17"/>
        <v>95.112040428571419</v>
      </c>
      <c r="H190" s="3" t="s">
        <v>419</v>
      </c>
    </row>
    <row r="192" spans="1:8">
      <c r="A192" s="3" t="s">
        <v>344</v>
      </c>
      <c r="B192" s="10">
        <v>2.6204000000000002E-2</v>
      </c>
    </row>
    <row r="195" spans="1:3" ht="15">
      <c r="A195" s="413" t="s">
        <v>581</v>
      </c>
      <c r="B195" s="413"/>
      <c r="C195" s="413"/>
    </row>
    <row r="196" spans="1:3" ht="60">
      <c r="A196" s="221" t="s">
        <v>610</v>
      </c>
      <c r="B196" s="221" t="s">
        <v>580</v>
      </c>
      <c r="C196" s="221" t="s">
        <v>579</v>
      </c>
    </row>
    <row r="197" spans="1:3" ht="15">
      <c r="A197" s="220" t="s">
        <v>817</v>
      </c>
      <c r="B197" s="220" t="s">
        <v>15</v>
      </c>
      <c r="C197" s="220">
        <v>1.1198999999999999</v>
      </c>
    </row>
    <row r="198" spans="1:3" ht="15">
      <c r="A198" s="220" t="s">
        <v>578</v>
      </c>
      <c r="B198" s="220" t="s">
        <v>14</v>
      </c>
      <c r="C198" s="220">
        <v>1</v>
      </c>
    </row>
    <row r="199" spans="1:3" ht="15">
      <c r="A199" s="220" t="s">
        <v>577</v>
      </c>
      <c r="B199" s="220" t="s">
        <v>576</v>
      </c>
      <c r="C199" s="220">
        <v>0.50760000000000005</v>
      </c>
    </row>
    <row r="200" spans="1:3" ht="15">
      <c r="A200" s="220" t="s">
        <v>575</v>
      </c>
      <c r="B200" s="220" t="s">
        <v>574</v>
      </c>
      <c r="C200" s="220">
        <v>8.3384999999999998</v>
      </c>
    </row>
    <row r="201" spans="1:3" ht="15">
      <c r="A201" s="220" t="s">
        <v>711</v>
      </c>
      <c r="B201" s="220" t="s">
        <v>710</v>
      </c>
      <c r="C201" s="220">
        <v>0.68</v>
      </c>
    </row>
    <row r="202" spans="1:3" ht="15">
      <c r="A202" s="220" t="s">
        <v>709</v>
      </c>
      <c r="B202" s="220" t="s">
        <v>708</v>
      </c>
      <c r="C202" s="220">
        <v>481.22019999999998</v>
      </c>
    </row>
    <row r="203" spans="1:3" ht="15">
      <c r="A203" s="220" t="s">
        <v>1034</v>
      </c>
      <c r="B203" s="220" t="s">
        <v>707</v>
      </c>
      <c r="C203" s="220">
        <v>1.4278999999999999</v>
      </c>
    </row>
    <row r="204" spans="1:3" ht="15">
      <c r="A204" s="220" t="s">
        <v>95</v>
      </c>
      <c r="B204" s="220" t="s">
        <v>82</v>
      </c>
      <c r="C204" s="220">
        <v>1.0135000000000001</v>
      </c>
    </row>
    <row r="205" spans="1:3" ht="15">
      <c r="A205" s="220" t="s">
        <v>821</v>
      </c>
      <c r="B205" s="220" t="s">
        <v>706</v>
      </c>
      <c r="C205" s="220">
        <v>40.500999999999998</v>
      </c>
    </row>
  </sheetData>
  <sheetProtection password="C50C" sheet="1" objects="1" scenarios="1"/>
  <mergeCells count="3">
    <mergeCell ref="A195:C195"/>
    <mergeCell ref="D103:F103"/>
    <mergeCell ref="D104:F104"/>
  </mergeCells>
  <phoneticPr fontId="0" type="noConversion"/>
  <dataValidations disablePrompts="1" count="1">
    <dataValidation type="list" allowBlank="1" showDropDown="1" showInputMessage="1" showErrorMessage="1" sqref="C60:C63">
      <formula1>$C$18:$C$79</formula1>
    </dataValidation>
  </dataValidations>
  <hyperlinks>
    <hyperlink ref="S35" r:id="rId1"/>
  </hyperlinks>
  <printOptions horizontalCentered="1"/>
  <pageMargins left="0.75" right="0.75" top="1" bottom="1" header="0.5" footer="0.5"/>
  <pageSetup paperSize="9" orientation="portrait"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sheetPr codeName="Sheet19" enableFormatConditionsCalculation="0">
    <tabColor indexed="45"/>
  </sheetPr>
  <dimension ref="A1:N20"/>
  <sheetViews>
    <sheetView workbookViewId="0">
      <selection sqref="A1:H1"/>
    </sheetView>
  </sheetViews>
  <sheetFormatPr defaultRowHeight="13.5" outlineLevelRow="1"/>
  <cols>
    <col min="1" max="1" width="41.7109375" style="264" customWidth="1"/>
    <col min="2" max="2" width="14.42578125" style="264" customWidth="1"/>
    <col min="3" max="3" width="18.85546875" style="264" customWidth="1"/>
    <col min="4" max="4" width="20.5703125" style="264" customWidth="1"/>
    <col min="5" max="5" width="20.42578125" style="264" customWidth="1"/>
    <col min="6" max="10" width="14.42578125" style="264" customWidth="1"/>
    <col min="11" max="13" width="9.140625" style="264"/>
    <col min="14" max="14" width="12.5703125" style="264" customWidth="1"/>
    <col min="15" max="16384" width="9.140625" style="264"/>
  </cols>
  <sheetData>
    <row r="1" spans="1:14" s="259" customFormat="1" ht="31.5" customHeight="1">
      <c r="A1" s="412" t="s">
        <v>1283</v>
      </c>
      <c r="B1" s="412"/>
      <c r="C1" s="412"/>
      <c r="D1" s="412"/>
      <c r="E1" s="412"/>
      <c r="F1" s="412"/>
      <c r="G1" s="412"/>
      <c r="H1" s="412"/>
    </row>
    <row r="2" spans="1:14" s="355" customFormat="1" ht="15.75" customHeight="1" thickBot="1">
      <c r="A2" s="350"/>
      <c r="B2" s="351"/>
      <c r="C2" s="352"/>
      <c r="D2" s="353"/>
      <c r="E2" s="354"/>
      <c r="F2" s="350"/>
      <c r="G2" s="350"/>
      <c r="H2" s="350"/>
      <c r="I2" s="350"/>
      <c r="J2" s="350"/>
      <c r="M2" s="260" t="s">
        <v>1179</v>
      </c>
      <c r="N2" s="260" t="s">
        <v>1177</v>
      </c>
    </row>
    <row r="3" spans="1:14" ht="11.25" customHeight="1">
      <c r="A3" s="356"/>
      <c r="B3" s="322"/>
      <c r="C3" s="357" t="s">
        <v>1264</v>
      </c>
      <c r="D3" s="358">
        <v>1000</v>
      </c>
      <c r="E3" s="359"/>
      <c r="F3" s="360"/>
      <c r="G3" s="322"/>
      <c r="H3" s="322"/>
      <c r="I3" s="322"/>
      <c r="J3" s="322"/>
      <c r="M3" s="291" t="s">
        <v>1183</v>
      </c>
      <c r="N3" s="291"/>
    </row>
    <row r="4" spans="1:14" ht="11.25" customHeight="1">
      <c r="A4" s="322"/>
      <c r="B4" s="322"/>
      <c r="C4" s="357" t="s">
        <v>1275</v>
      </c>
      <c r="D4" s="361">
        <v>10</v>
      </c>
      <c r="E4" s="359"/>
      <c r="F4" s="360"/>
      <c r="G4" s="322"/>
      <c r="H4" s="322"/>
      <c r="I4" s="322"/>
      <c r="J4" s="322"/>
      <c r="M4" s="291" t="s">
        <v>1184</v>
      </c>
      <c r="N4" s="304"/>
    </row>
    <row r="5" spans="1:14" ht="11.25" customHeight="1">
      <c r="B5" s="322"/>
      <c r="C5" s="357" t="s">
        <v>1276</v>
      </c>
      <c r="D5" s="361">
        <v>30</v>
      </c>
      <c r="E5" s="359"/>
      <c r="F5" s="360"/>
      <c r="G5" s="322"/>
      <c r="H5" s="322"/>
      <c r="I5" s="322"/>
      <c r="J5" s="322"/>
      <c r="M5" s="291" t="s">
        <v>1185</v>
      </c>
      <c r="N5" s="304"/>
    </row>
    <row r="6" spans="1:14" ht="11.25" customHeight="1">
      <c r="A6" s="356"/>
      <c r="B6" s="322"/>
      <c r="C6" s="357"/>
      <c r="D6" s="363"/>
      <c r="E6" s="362"/>
      <c r="F6" s="362"/>
      <c r="G6" s="322"/>
      <c r="H6" s="322"/>
      <c r="I6" s="322"/>
      <c r="J6" s="322"/>
      <c r="M6" s="291" t="s">
        <v>1186</v>
      </c>
      <c r="N6" s="304"/>
    </row>
    <row r="7" spans="1:14" ht="11.25" customHeight="1" thickBot="1">
      <c r="A7" s="356"/>
      <c r="B7" s="322"/>
      <c r="C7" s="357"/>
      <c r="D7" s="363"/>
      <c r="E7" s="362"/>
      <c r="F7" s="362"/>
      <c r="G7" s="322"/>
      <c r="H7" s="322"/>
      <c r="I7" s="322"/>
      <c r="J7" s="322"/>
      <c r="M7" s="291" t="s">
        <v>1187</v>
      </c>
      <c r="N7" s="304">
        <v>125</v>
      </c>
    </row>
    <row r="8" spans="1:14" ht="14.25" customHeight="1" thickBot="1">
      <c r="A8" s="364"/>
      <c r="B8" s="365"/>
      <c r="C8" s="366"/>
      <c r="D8" s="367"/>
      <c r="E8" s="368" t="s">
        <v>1269</v>
      </c>
      <c r="F8" s="368" t="s">
        <v>1316</v>
      </c>
      <c r="G8" s="368" t="s">
        <v>1317</v>
      </c>
      <c r="H8" s="368" t="s">
        <v>1318</v>
      </c>
      <c r="I8" s="368" t="s">
        <v>1319</v>
      </c>
      <c r="J8" s="368" t="s">
        <v>1320</v>
      </c>
      <c r="M8" s="291" t="s">
        <v>1188</v>
      </c>
      <c r="N8" s="304">
        <v>150</v>
      </c>
    </row>
    <row r="9" spans="1:14" ht="11.25" customHeight="1" outlineLevel="1" thickBot="1">
      <c r="A9" s="369" t="s">
        <v>1265</v>
      </c>
      <c r="B9" s="370"/>
      <c r="C9" s="371"/>
      <c r="D9" s="370" t="s">
        <v>1268</v>
      </c>
      <c r="E9" s="370" t="s">
        <v>1267</v>
      </c>
      <c r="F9" s="372"/>
      <c r="G9" s="373"/>
      <c r="H9" s="373"/>
      <c r="I9" s="373"/>
      <c r="J9" s="373"/>
      <c r="M9" s="291" t="s">
        <v>1189</v>
      </c>
      <c r="N9" s="304">
        <v>200</v>
      </c>
    </row>
    <row r="10" spans="1:14" ht="11.25" customHeight="1" outlineLevel="1">
      <c r="A10" s="374" t="s">
        <v>1266</v>
      </c>
      <c r="B10" s="322"/>
      <c r="C10" s="375"/>
      <c r="D10" s="376">
        <v>0</v>
      </c>
      <c r="E10" s="377">
        <v>1</v>
      </c>
      <c r="F10" s="378">
        <f>D10*E10</f>
        <v>0</v>
      </c>
      <c r="G10" s="378">
        <f>D10*E10</f>
        <v>0</v>
      </c>
      <c r="H10" s="378">
        <f>D10*E10</f>
        <v>0</v>
      </c>
      <c r="I10" s="378">
        <f>D10*E10</f>
        <v>0</v>
      </c>
      <c r="J10" s="378">
        <f>D10*E10</f>
        <v>0</v>
      </c>
      <c r="M10" s="291" t="s">
        <v>1207</v>
      </c>
      <c r="N10" s="304">
        <v>250</v>
      </c>
    </row>
    <row r="11" spans="1:14" ht="11.25" customHeight="1" outlineLevel="1">
      <c r="A11" s="374" t="s">
        <v>1270</v>
      </c>
      <c r="B11" s="322"/>
      <c r="C11" s="375"/>
      <c r="D11" s="379">
        <v>0</v>
      </c>
      <c r="E11" s="380">
        <v>0</v>
      </c>
      <c r="F11" s="378">
        <f>D11*E11</f>
        <v>0</v>
      </c>
      <c r="G11" s="378">
        <f>D11*E11</f>
        <v>0</v>
      </c>
      <c r="H11" s="378">
        <f>D11*E11</f>
        <v>0</v>
      </c>
      <c r="I11" s="378">
        <f>D11*E11</f>
        <v>0</v>
      </c>
      <c r="J11" s="378">
        <f>D11*E11</f>
        <v>0</v>
      </c>
    </row>
    <row r="12" spans="1:14" ht="11.25" customHeight="1" outlineLevel="1">
      <c r="A12" s="374" t="s">
        <v>1271</v>
      </c>
      <c r="B12" s="322"/>
      <c r="C12" s="375"/>
      <c r="D12" s="379">
        <v>0</v>
      </c>
      <c r="E12" s="380">
        <v>0</v>
      </c>
      <c r="F12" s="378">
        <f>D12*E12</f>
        <v>0</v>
      </c>
      <c r="G12" s="378">
        <f>D12*E12</f>
        <v>0</v>
      </c>
      <c r="H12" s="378">
        <f>D12*E12</f>
        <v>0</v>
      </c>
      <c r="I12" s="378">
        <f>D12*E12</f>
        <v>0</v>
      </c>
      <c r="J12" s="378">
        <f>D12*E12</f>
        <v>0</v>
      </c>
    </row>
    <row r="13" spans="1:14" ht="13.5" customHeight="1" outlineLevel="1" thickBot="1">
      <c r="A13" s="374" t="s">
        <v>1272</v>
      </c>
      <c r="B13" s="322"/>
      <c r="C13" s="375"/>
      <c r="D13" s="379">
        <v>0</v>
      </c>
      <c r="E13" s="380">
        <v>0</v>
      </c>
      <c r="F13" s="378">
        <f>D13*E13</f>
        <v>0</v>
      </c>
      <c r="G13" s="378">
        <f>D13*E13</f>
        <v>0</v>
      </c>
      <c r="H13" s="378">
        <f>D13*E13</f>
        <v>0</v>
      </c>
      <c r="I13" s="378">
        <f>D13*E13</f>
        <v>0</v>
      </c>
      <c r="J13" s="378">
        <f>D13*E13</f>
        <v>0</v>
      </c>
    </row>
    <row r="14" spans="1:14" s="384" customFormat="1" ht="14.25" outlineLevel="1" thickBot="1">
      <c r="A14" s="381" t="s">
        <v>1161</v>
      </c>
      <c r="B14" s="382"/>
      <c r="C14" s="382"/>
      <c r="D14" s="382"/>
      <c r="E14" s="382"/>
      <c r="F14" s="398">
        <f>SUM(F10:F13)</f>
        <v>0</v>
      </c>
      <c r="G14" s="383"/>
      <c r="H14" s="383"/>
      <c r="I14" s="383"/>
      <c r="J14" s="383"/>
    </row>
    <row r="15" spans="1:14" s="323" customFormat="1" ht="14.25" thickBot="1">
      <c r="A15" s="274" t="s">
        <v>1273</v>
      </c>
      <c r="B15" s="385"/>
      <c r="C15" s="385"/>
      <c r="D15" s="276"/>
      <c r="E15" s="276"/>
      <c r="F15" s="399">
        <f>F14</f>
        <v>0</v>
      </c>
      <c r="G15" s="346"/>
      <c r="H15" s="346"/>
      <c r="I15" s="346"/>
      <c r="J15" s="346"/>
    </row>
    <row r="16" spans="1:14" ht="14.25" customHeight="1" outlineLevel="1" thickBot="1">
      <c r="A16" s="386" t="s">
        <v>1274</v>
      </c>
      <c r="B16" s="387"/>
      <c r="C16" s="388" t="s">
        <v>1277</v>
      </c>
      <c r="D16" s="387"/>
      <c r="E16" s="388" t="s">
        <v>1278</v>
      </c>
      <c r="F16" s="388"/>
      <c r="G16" s="388"/>
      <c r="H16" s="388"/>
      <c r="I16" s="388"/>
      <c r="J16" s="388"/>
    </row>
    <row r="17" spans="1:10" ht="14.25" customHeight="1" outlineLevel="1">
      <c r="A17" s="374" t="s">
        <v>1279</v>
      </c>
      <c r="B17" s="389" t="s">
        <v>1124</v>
      </c>
      <c r="C17" s="390">
        <v>5.0000000000000001E-3</v>
      </c>
      <c r="D17" s="391">
        <v>1000</v>
      </c>
      <c r="E17" s="392">
        <f>D17*C17</f>
        <v>5</v>
      </c>
      <c r="F17" s="393">
        <f>E17*250*8*125</f>
        <v>1250000</v>
      </c>
      <c r="G17" s="393">
        <f>E17*250*8*125</f>
        <v>1250000</v>
      </c>
      <c r="H17" s="393">
        <f>E17*250*8*125</f>
        <v>1250000</v>
      </c>
      <c r="I17" s="393">
        <f>E17*250*8*125</f>
        <v>1250000</v>
      </c>
      <c r="J17" s="393">
        <f>E17*250*8*125</f>
        <v>1250000</v>
      </c>
    </row>
    <row r="18" spans="1:10" ht="11.25" customHeight="1" outlineLevel="1">
      <c r="A18" s="374" t="s">
        <v>1280</v>
      </c>
      <c r="B18" s="389" t="s">
        <v>1123</v>
      </c>
      <c r="C18" s="394">
        <v>0.1</v>
      </c>
      <c r="D18" s="391">
        <v>5</v>
      </c>
      <c r="E18" s="392">
        <f>D18*C18</f>
        <v>0.5</v>
      </c>
      <c r="F18" s="393">
        <f>E18*250*8*150</f>
        <v>150000</v>
      </c>
      <c r="G18" s="393">
        <f>E18*250*8*150</f>
        <v>150000</v>
      </c>
      <c r="H18" s="393">
        <f>E18*250*8*150</f>
        <v>150000</v>
      </c>
      <c r="I18" s="393">
        <f>E18*250*8*150</f>
        <v>150000</v>
      </c>
      <c r="J18" s="393">
        <f>E18*250*8*150</f>
        <v>150000</v>
      </c>
    </row>
    <row r="19" spans="1:10" ht="13.5" customHeight="1" outlineLevel="1" thickBot="1">
      <c r="A19" s="374" t="s">
        <v>1281</v>
      </c>
      <c r="B19" s="389" t="s">
        <v>1121</v>
      </c>
      <c r="C19" s="394">
        <v>3.3000000000000002E-2</v>
      </c>
      <c r="D19" s="391">
        <v>6</v>
      </c>
      <c r="E19" s="392">
        <f>D19*C19</f>
        <v>0.19800000000000001</v>
      </c>
      <c r="F19" s="393">
        <f>E19*250*8*250</f>
        <v>99000</v>
      </c>
      <c r="G19" s="393">
        <f>E19*250*8*250</f>
        <v>99000</v>
      </c>
      <c r="H19" s="393">
        <f>E19*250*8*250</f>
        <v>99000</v>
      </c>
      <c r="I19" s="393">
        <f>E19*250*8*250</f>
        <v>99000</v>
      </c>
      <c r="J19" s="393">
        <f>E19*250*8*250</f>
        <v>99000</v>
      </c>
    </row>
    <row r="20" spans="1:10" s="384" customFormat="1" ht="12.75" customHeight="1" outlineLevel="1" thickBot="1">
      <c r="A20" s="395" t="s">
        <v>1161</v>
      </c>
      <c r="B20" s="396"/>
      <c r="C20" s="396"/>
      <c r="D20" s="396"/>
      <c r="E20" s="397">
        <f t="shared" ref="E20:J20" si="0">SUM(E17:E19)</f>
        <v>5.6980000000000004</v>
      </c>
      <c r="F20" s="400">
        <f t="shared" si="0"/>
        <v>1499000</v>
      </c>
      <c r="G20" s="400">
        <f t="shared" si="0"/>
        <v>1499000</v>
      </c>
      <c r="H20" s="400">
        <f t="shared" si="0"/>
        <v>1499000</v>
      </c>
      <c r="I20" s="400">
        <f t="shared" si="0"/>
        <v>1499000</v>
      </c>
      <c r="J20" s="400">
        <f t="shared" si="0"/>
        <v>1499000</v>
      </c>
    </row>
  </sheetData>
  <mergeCells count="1">
    <mergeCell ref="A1:H1"/>
  </mergeCells>
  <phoneticPr fontId="5" type="noConversion"/>
  <dataValidations count="3">
    <dataValidation type="list" allowBlank="1" showInputMessage="1" showErrorMessage="1" sqref="B20">
      <formula1>RateCode</formula1>
    </dataValidation>
    <dataValidation allowBlank="1" showInputMessage="1" showErrorMessage="1" prompt="IBM Software products have 1 year's maintenance included in purchase price - do not use these rows for 3rd party products - use rows 26-37" sqref="A14"/>
    <dataValidation type="list" allowBlank="1" showInputMessage="1" showErrorMessage="1" sqref="B17:B19">
      <formula1>$M$3:$M$10</formula1>
    </dataValidation>
  </dataValidations>
  <pageMargins left="0.75" right="0.75" top="1" bottom="1" header="0.5" footer="0.5"/>
  <pageSetup paperSize="9" orientation="portrait"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sheetPr>
    <tabColor indexed="45"/>
  </sheetPr>
  <dimension ref="A1:P23"/>
  <sheetViews>
    <sheetView workbookViewId="0">
      <selection sqref="A1:H1"/>
    </sheetView>
  </sheetViews>
  <sheetFormatPr defaultRowHeight="13.5" outlineLevelRow="1"/>
  <cols>
    <col min="1" max="1" width="41.7109375" style="264" customWidth="1"/>
    <col min="2" max="2" width="14.42578125" style="264" customWidth="1"/>
    <col min="3" max="3" width="20.5703125" style="264" customWidth="1"/>
    <col min="4" max="4" width="16.85546875" style="264" customWidth="1"/>
    <col min="5" max="5" width="20.42578125" style="264" customWidth="1"/>
    <col min="6" max="10" width="14.42578125" style="264" customWidth="1"/>
    <col min="11" max="14" width="9.140625" style="264"/>
    <col min="15" max="15" width="12.5703125" style="264" customWidth="1"/>
    <col min="16" max="16384" width="9.140625" style="264"/>
  </cols>
  <sheetData>
    <row r="1" spans="1:16" s="401" customFormat="1" ht="30.75" customHeight="1">
      <c r="A1" s="412" t="s">
        <v>1282</v>
      </c>
      <c r="B1" s="412"/>
      <c r="C1" s="412"/>
      <c r="D1" s="412"/>
      <c r="E1" s="412"/>
      <c r="F1" s="412"/>
      <c r="G1" s="412"/>
      <c r="H1" s="412"/>
      <c r="I1" s="415"/>
      <c r="J1" s="415"/>
      <c r="K1" s="415"/>
      <c r="L1" s="415"/>
      <c r="M1" s="415"/>
      <c r="N1" s="415"/>
      <c r="O1" s="415"/>
      <c r="P1" s="415"/>
    </row>
    <row r="2" spans="1:16" s="355" customFormat="1" ht="15.75" customHeight="1" thickBot="1">
      <c r="A2" s="350"/>
      <c r="B2" s="351"/>
      <c r="C2" s="352"/>
      <c r="D2" s="353"/>
      <c r="E2" s="354"/>
      <c r="F2" s="350"/>
      <c r="G2" s="350"/>
      <c r="H2" s="350"/>
      <c r="I2" s="350"/>
      <c r="J2" s="350"/>
      <c r="M2" s="260" t="s">
        <v>1179</v>
      </c>
      <c r="N2" s="260" t="s">
        <v>1177</v>
      </c>
    </row>
    <row r="3" spans="1:16" ht="11.25" customHeight="1">
      <c r="A3" s="356"/>
      <c r="B3" s="322"/>
      <c r="C3" s="357" t="s">
        <v>1285</v>
      </c>
      <c r="D3" s="358">
        <v>100</v>
      </c>
      <c r="E3" s="359"/>
      <c r="F3" s="360"/>
      <c r="G3" s="322"/>
      <c r="H3" s="322"/>
      <c r="I3" s="322"/>
      <c r="J3" s="322"/>
      <c r="M3" s="291" t="s">
        <v>1183</v>
      </c>
      <c r="N3" s="291"/>
    </row>
    <row r="4" spans="1:16" ht="11.25" customHeight="1">
      <c r="A4" s="356"/>
      <c r="B4" s="322"/>
      <c r="C4" s="357" t="s">
        <v>1284</v>
      </c>
      <c r="D4" s="361">
        <v>5</v>
      </c>
      <c r="E4" s="359"/>
      <c r="F4" s="360"/>
      <c r="G4" s="322"/>
      <c r="H4" s="322"/>
      <c r="I4" s="322"/>
      <c r="J4" s="322"/>
      <c r="M4" s="291" t="s">
        <v>1184</v>
      </c>
      <c r="N4" s="304"/>
    </row>
    <row r="5" spans="1:16" ht="11.25" customHeight="1">
      <c r="A5" s="356"/>
      <c r="B5" s="322"/>
      <c r="C5" s="357" t="s">
        <v>1289</v>
      </c>
      <c r="D5" s="361">
        <v>4</v>
      </c>
      <c r="E5" s="359"/>
      <c r="F5" s="360"/>
      <c r="G5" s="322"/>
      <c r="H5" s="322"/>
      <c r="I5" s="322"/>
      <c r="J5" s="322"/>
      <c r="M5" s="291" t="s">
        <v>1185</v>
      </c>
      <c r="N5" s="304"/>
    </row>
    <row r="6" spans="1:16" ht="11.25" customHeight="1">
      <c r="A6" s="322"/>
      <c r="B6" s="322"/>
      <c r="C6" s="357" t="s">
        <v>1275</v>
      </c>
      <c r="D6" s="361">
        <v>10</v>
      </c>
      <c r="E6" s="359"/>
      <c r="F6" s="360"/>
      <c r="G6" s="322"/>
      <c r="H6" s="322"/>
      <c r="I6" s="322"/>
      <c r="J6" s="322"/>
      <c r="M6" s="291" t="s">
        <v>1186</v>
      </c>
      <c r="N6" s="304"/>
    </row>
    <row r="7" spans="1:16" ht="11.25" customHeight="1">
      <c r="B7" s="322"/>
      <c r="C7" s="357" t="s">
        <v>1276</v>
      </c>
      <c r="D7" s="361">
        <v>30</v>
      </c>
      <c r="E7" s="359"/>
      <c r="F7" s="360"/>
      <c r="G7" s="322"/>
      <c r="H7" s="322"/>
      <c r="I7" s="322"/>
      <c r="J7" s="322"/>
      <c r="M7" s="291" t="s">
        <v>1187</v>
      </c>
      <c r="N7" s="304">
        <v>125</v>
      </c>
    </row>
    <row r="8" spans="1:16" ht="11.25" customHeight="1" thickBot="1">
      <c r="A8" s="356"/>
      <c r="B8" s="322"/>
      <c r="C8" s="357"/>
      <c r="D8" s="363"/>
      <c r="E8" s="362"/>
      <c r="F8" s="362"/>
      <c r="G8" s="322"/>
      <c r="H8" s="322"/>
      <c r="I8" s="322"/>
      <c r="J8" s="322"/>
      <c r="M8" s="291" t="s">
        <v>1188</v>
      </c>
      <c r="N8" s="304">
        <v>150</v>
      </c>
      <c r="O8" s="305"/>
    </row>
    <row r="9" spans="1:16" ht="14.25" customHeight="1" thickBot="1">
      <c r="A9" s="364"/>
      <c r="B9" s="365"/>
      <c r="C9" s="366"/>
      <c r="D9" s="367"/>
      <c r="E9" s="368" t="s">
        <v>1269</v>
      </c>
      <c r="F9" s="368" t="s">
        <v>1316</v>
      </c>
      <c r="G9" s="368" t="s">
        <v>1317</v>
      </c>
      <c r="H9" s="368" t="s">
        <v>1318</v>
      </c>
      <c r="I9" s="368" t="s">
        <v>1319</v>
      </c>
      <c r="J9" s="368" t="s">
        <v>1320</v>
      </c>
      <c r="M9" s="291" t="s">
        <v>1189</v>
      </c>
      <c r="N9" s="304">
        <v>200</v>
      </c>
    </row>
    <row r="10" spans="1:16" ht="11.25" customHeight="1" outlineLevel="1" thickBot="1">
      <c r="A10" s="369" t="s">
        <v>1265</v>
      </c>
      <c r="B10" s="370"/>
      <c r="C10" s="371"/>
      <c r="D10" s="370" t="s">
        <v>1268</v>
      </c>
      <c r="E10" s="370" t="s">
        <v>1267</v>
      </c>
      <c r="F10" s="372"/>
      <c r="G10" s="373"/>
      <c r="H10" s="373"/>
      <c r="I10" s="373"/>
      <c r="J10" s="373"/>
      <c r="M10" s="291" t="s">
        <v>1207</v>
      </c>
      <c r="N10" s="304">
        <v>250</v>
      </c>
    </row>
    <row r="11" spans="1:16" ht="11.25" customHeight="1" outlineLevel="1">
      <c r="A11" s="374" t="s">
        <v>1266</v>
      </c>
      <c r="B11" s="322"/>
      <c r="C11" s="375"/>
      <c r="D11" s="376">
        <v>0</v>
      </c>
      <c r="E11" s="377">
        <v>1</v>
      </c>
      <c r="F11" s="378">
        <f>D11*E11</f>
        <v>0</v>
      </c>
      <c r="G11" s="378">
        <f>D11*E11</f>
        <v>0</v>
      </c>
      <c r="H11" s="378">
        <f>D11*E11</f>
        <v>0</v>
      </c>
      <c r="I11" s="378">
        <f>D11*E11</f>
        <v>0</v>
      </c>
      <c r="J11" s="378">
        <f>D11*E11</f>
        <v>0</v>
      </c>
      <c r="M11" s="291"/>
      <c r="N11" s="304"/>
    </row>
    <row r="12" spans="1:16" ht="11.25" customHeight="1" outlineLevel="1">
      <c r="A12" s="374" t="s">
        <v>1270</v>
      </c>
      <c r="B12" s="322"/>
      <c r="C12" s="375"/>
      <c r="D12" s="379">
        <v>0</v>
      </c>
      <c r="E12" s="380">
        <v>0</v>
      </c>
      <c r="F12" s="378">
        <f>D12*E12</f>
        <v>0</v>
      </c>
      <c r="G12" s="378">
        <f>D12*E12</f>
        <v>0</v>
      </c>
      <c r="H12" s="378">
        <f>D12*E12</f>
        <v>0</v>
      </c>
      <c r="I12" s="378">
        <f>D12*E12</f>
        <v>0</v>
      </c>
      <c r="J12" s="378">
        <f>D12*E12</f>
        <v>0</v>
      </c>
      <c r="M12" s="291"/>
      <c r="N12" s="304"/>
    </row>
    <row r="13" spans="1:16" ht="11.25" customHeight="1" outlineLevel="1">
      <c r="A13" s="374" t="s">
        <v>1271</v>
      </c>
      <c r="B13" s="322"/>
      <c r="C13" s="375"/>
      <c r="D13" s="379">
        <v>0</v>
      </c>
      <c r="E13" s="380">
        <v>0</v>
      </c>
      <c r="F13" s="378">
        <f>D13*E13</f>
        <v>0</v>
      </c>
      <c r="G13" s="378">
        <f>D13*E13</f>
        <v>0</v>
      </c>
      <c r="H13" s="378">
        <f>D13*E13</f>
        <v>0</v>
      </c>
      <c r="I13" s="378">
        <f>D13*E13</f>
        <v>0</v>
      </c>
      <c r="J13" s="378">
        <f>D13*E13</f>
        <v>0</v>
      </c>
    </row>
    <row r="14" spans="1:16" ht="13.5" customHeight="1" outlineLevel="1" thickBot="1">
      <c r="A14" s="374" t="s">
        <v>1272</v>
      </c>
      <c r="B14" s="322"/>
      <c r="C14" s="375"/>
      <c r="D14" s="379">
        <v>0</v>
      </c>
      <c r="E14" s="380">
        <v>0</v>
      </c>
      <c r="F14" s="378">
        <f>D14*E14</f>
        <v>0</v>
      </c>
      <c r="G14" s="378">
        <f>D14*E14</f>
        <v>0</v>
      </c>
      <c r="H14" s="378">
        <f>D14*E14</f>
        <v>0</v>
      </c>
      <c r="I14" s="378">
        <f>D14*E14</f>
        <v>0</v>
      </c>
      <c r="J14" s="378">
        <f>D14*E14</f>
        <v>0</v>
      </c>
    </row>
    <row r="15" spans="1:16" s="384" customFormat="1" ht="14.25" outlineLevel="1" thickBot="1">
      <c r="A15" s="381" t="s">
        <v>1161</v>
      </c>
      <c r="B15" s="382"/>
      <c r="C15" s="382"/>
      <c r="D15" s="382"/>
      <c r="E15" s="382"/>
      <c r="F15" s="398">
        <f>SUM(F11:F14)</f>
        <v>0</v>
      </c>
      <c r="G15" s="383"/>
      <c r="H15" s="383"/>
      <c r="I15" s="383"/>
      <c r="J15" s="383"/>
    </row>
    <row r="16" spans="1:16" s="323" customFormat="1" ht="14.25" thickBot="1">
      <c r="A16" s="274" t="s">
        <v>1273</v>
      </c>
      <c r="B16" s="385"/>
      <c r="C16" s="385"/>
      <c r="D16" s="276"/>
      <c r="E16" s="276"/>
      <c r="F16" s="399">
        <f>F15</f>
        <v>0</v>
      </c>
      <c r="G16" s="346"/>
      <c r="H16" s="346"/>
      <c r="I16" s="346"/>
      <c r="J16" s="346"/>
    </row>
    <row r="17" spans="1:10" ht="14.25" customHeight="1" outlineLevel="1" thickBot="1">
      <c r="A17" s="386" t="s">
        <v>1274</v>
      </c>
      <c r="B17" s="387"/>
      <c r="C17" s="388" t="s">
        <v>1277</v>
      </c>
      <c r="D17" s="387"/>
      <c r="E17" s="388" t="s">
        <v>1278</v>
      </c>
      <c r="F17" s="388"/>
      <c r="G17" s="388"/>
      <c r="H17" s="388"/>
      <c r="I17" s="388"/>
      <c r="J17" s="388"/>
    </row>
    <row r="18" spans="1:10" ht="14.25" customHeight="1" outlineLevel="1">
      <c r="A18" s="374" t="s">
        <v>1286</v>
      </c>
      <c r="B18" s="389" t="s">
        <v>1123</v>
      </c>
      <c r="C18" s="390">
        <v>0.04</v>
      </c>
      <c r="D18" s="391">
        <v>100</v>
      </c>
      <c r="E18" s="392">
        <f>D18*C18</f>
        <v>4</v>
      </c>
      <c r="F18" s="393">
        <f>E18*250*8*150</f>
        <v>1200000</v>
      </c>
      <c r="G18" s="393">
        <f>E18*250*8*150</f>
        <v>1200000</v>
      </c>
      <c r="H18" s="393">
        <f>E18*250*8*150</f>
        <v>1200000</v>
      </c>
      <c r="I18" s="393">
        <f>E18*250*8*150</f>
        <v>1200000</v>
      </c>
      <c r="J18" s="393">
        <f>E18*250*8*150</f>
        <v>1200000</v>
      </c>
    </row>
    <row r="19" spans="1:10" ht="14.25" customHeight="1" outlineLevel="1">
      <c r="A19" s="374" t="s">
        <v>1287</v>
      </c>
      <c r="B19" s="389" t="s">
        <v>1123</v>
      </c>
      <c r="C19" s="402">
        <v>0.5</v>
      </c>
      <c r="D19" s="391">
        <v>4</v>
      </c>
      <c r="E19" s="392">
        <f>D19*C19</f>
        <v>2</v>
      </c>
      <c r="F19" s="393">
        <f>E19*250*8*150</f>
        <v>600000</v>
      </c>
      <c r="G19" s="393">
        <f>E19*250*8*150</f>
        <v>600000</v>
      </c>
      <c r="H19" s="393">
        <f>E19*250*8*150</f>
        <v>600000</v>
      </c>
      <c r="I19" s="393">
        <f>E19*250*8*150</f>
        <v>600000</v>
      </c>
      <c r="J19" s="393">
        <f>E19*250*8*150</f>
        <v>600000</v>
      </c>
    </row>
    <row r="20" spans="1:10" ht="14.25" customHeight="1" outlineLevel="1">
      <c r="A20" s="374" t="s">
        <v>1298</v>
      </c>
      <c r="B20" s="389" t="s">
        <v>1122</v>
      </c>
      <c r="C20" s="402">
        <v>0.1</v>
      </c>
      <c r="D20" s="391">
        <v>6</v>
      </c>
      <c r="E20" s="392">
        <f>D20*C20</f>
        <v>0.60000000000000009</v>
      </c>
      <c r="F20" s="393">
        <f>E20*250*8*200</f>
        <v>240000.00000000006</v>
      </c>
      <c r="G20" s="393">
        <f>E20*250*8*200</f>
        <v>240000.00000000006</v>
      </c>
      <c r="H20" s="393">
        <f>E20*250*8*200</f>
        <v>240000.00000000006</v>
      </c>
      <c r="I20" s="393">
        <f>E20*250*8*200</f>
        <v>240000.00000000006</v>
      </c>
      <c r="J20" s="393">
        <f>E20*250*8*200</f>
        <v>240000.00000000006</v>
      </c>
    </row>
    <row r="21" spans="1:10" ht="11.25" customHeight="1" outlineLevel="1">
      <c r="A21" s="374" t="s">
        <v>1288</v>
      </c>
      <c r="B21" s="389" t="s">
        <v>1122</v>
      </c>
      <c r="C21" s="394">
        <v>0.2</v>
      </c>
      <c r="D21" s="391">
        <v>5</v>
      </c>
      <c r="E21" s="392">
        <f>D21*C21</f>
        <v>1</v>
      </c>
      <c r="F21" s="393">
        <f>E21*250*8*200</f>
        <v>400000</v>
      </c>
      <c r="G21" s="393">
        <f>E21*250*8*200</f>
        <v>400000</v>
      </c>
      <c r="H21" s="393">
        <f>E21*250*8*200</f>
        <v>400000</v>
      </c>
      <c r="I21" s="393">
        <f>E21*250*8*200</f>
        <v>400000</v>
      </c>
      <c r="J21" s="393">
        <f>E21*250*8*200</f>
        <v>400000</v>
      </c>
    </row>
    <row r="22" spans="1:10" ht="13.5" customHeight="1" outlineLevel="1" thickBot="1">
      <c r="A22" s="374" t="s">
        <v>1281</v>
      </c>
      <c r="B22" s="389" t="s">
        <v>1121</v>
      </c>
      <c r="C22" s="394">
        <v>3.3000000000000002E-2</v>
      </c>
      <c r="D22" s="391">
        <v>7.6</v>
      </c>
      <c r="E22" s="392">
        <f>D22*C22</f>
        <v>0.25080000000000002</v>
      </c>
      <c r="F22" s="393">
        <f>E22*250*8*250</f>
        <v>125400</v>
      </c>
      <c r="G22" s="393">
        <f>E22*250*8*250</f>
        <v>125400</v>
      </c>
      <c r="H22" s="393">
        <f>E22*250*8*250</f>
        <v>125400</v>
      </c>
      <c r="I22" s="393">
        <f>E22*250*8*250</f>
        <v>125400</v>
      </c>
      <c r="J22" s="393">
        <f>E22*250*8*250</f>
        <v>125400</v>
      </c>
    </row>
    <row r="23" spans="1:10" s="384" customFormat="1" ht="12.75" customHeight="1" outlineLevel="1" thickBot="1">
      <c r="A23" s="395" t="s">
        <v>1290</v>
      </c>
      <c r="B23" s="396"/>
      <c r="C23" s="396"/>
      <c r="D23" s="396"/>
      <c r="E23" s="397">
        <f t="shared" ref="E23:J23" si="0">SUM(E18:E22)</f>
        <v>7.8507999999999996</v>
      </c>
      <c r="F23" s="400">
        <f t="shared" si="0"/>
        <v>2565400</v>
      </c>
      <c r="G23" s="400">
        <f t="shared" si="0"/>
        <v>2565400</v>
      </c>
      <c r="H23" s="400">
        <f t="shared" si="0"/>
        <v>2565400</v>
      </c>
      <c r="I23" s="400">
        <f t="shared" si="0"/>
        <v>2565400</v>
      </c>
      <c r="J23" s="400">
        <f t="shared" si="0"/>
        <v>2565400</v>
      </c>
    </row>
  </sheetData>
  <mergeCells count="2">
    <mergeCell ref="A1:H1"/>
    <mergeCell ref="I1:P1"/>
  </mergeCells>
  <phoneticPr fontId="38" type="noConversion"/>
  <dataValidations count="3">
    <dataValidation allowBlank="1" showInputMessage="1" showErrorMessage="1" prompt="IBM Software products have 1 year's maintenance included in purchase price - do not use these rows for 3rd party products - use rows 26-37" sqref="A15"/>
    <dataValidation type="list" allowBlank="1" showInputMessage="1" showErrorMessage="1" sqref="B23">
      <formula1>RateCode</formula1>
    </dataValidation>
    <dataValidation type="list" allowBlank="1" showInputMessage="1" showErrorMessage="1" sqref="B18:B22">
      <formula1>$M$3:$M$10</formula1>
    </dataValidation>
  </dataValidations>
  <pageMargins left="0.7" right="0.7" top="0.75" bottom="0.75" header="0.3" footer="0.3"/>
  <pageSetup paperSize="9" orientation="portrait" horizontalDpi="4294967295" verticalDpi="4294967295" r:id="rId1"/>
</worksheet>
</file>

<file path=xl/worksheets/sheet9.xml><?xml version="1.0" encoding="utf-8"?>
<worksheet xmlns="http://schemas.openxmlformats.org/spreadsheetml/2006/main" xmlns:r="http://schemas.openxmlformats.org/officeDocument/2006/relationships">
  <sheetPr>
    <tabColor indexed="45"/>
  </sheetPr>
  <dimension ref="A1:P29"/>
  <sheetViews>
    <sheetView workbookViewId="0">
      <selection sqref="A1:H1"/>
    </sheetView>
  </sheetViews>
  <sheetFormatPr defaultRowHeight="13.5" outlineLevelRow="1"/>
  <cols>
    <col min="1" max="1" width="41.7109375" style="264" customWidth="1"/>
    <col min="2" max="2" width="14.42578125" style="264" customWidth="1"/>
    <col min="3" max="3" width="20.5703125" style="264" customWidth="1"/>
    <col min="4" max="4" width="16.85546875" style="264" customWidth="1"/>
    <col min="5" max="5" width="20.42578125" style="264" customWidth="1"/>
    <col min="6" max="10" width="14.42578125" style="264" customWidth="1"/>
    <col min="11" max="14" width="9.140625" style="264"/>
    <col min="15" max="15" width="12.5703125" style="264" customWidth="1"/>
    <col min="16" max="16384" width="9.140625" style="264"/>
  </cols>
  <sheetData>
    <row r="1" spans="1:16" s="401" customFormat="1" ht="30.75" customHeight="1">
      <c r="A1" s="412" t="s">
        <v>1291</v>
      </c>
      <c r="B1" s="412"/>
      <c r="C1" s="412"/>
      <c r="D1" s="412"/>
      <c r="E1" s="412"/>
      <c r="F1" s="412"/>
      <c r="G1" s="412"/>
      <c r="H1" s="412"/>
      <c r="I1" s="415"/>
      <c r="J1" s="415"/>
      <c r="K1" s="415"/>
      <c r="L1" s="415"/>
      <c r="M1" s="415"/>
      <c r="N1" s="415"/>
      <c r="O1" s="415"/>
      <c r="P1" s="415"/>
    </row>
    <row r="2" spans="1:16" s="355" customFormat="1" ht="15" customHeight="1" thickBot="1">
      <c r="A2" s="350"/>
      <c r="B2" s="351"/>
      <c r="C2" s="352"/>
      <c r="D2" s="353"/>
      <c r="E2" s="354"/>
      <c r="F2" s="350"/>
      <c r="G2" s="350"/>
      <c r="H2" s="350"/>
      <c r="I2" s="350"/>
      <c r="J2" s="350"/>
      <c r="M2" s="260" t="s">
        <v>1300</v>
      </c>
      <c r="N2" s="260" t="s">
        <v>1177</v>
      </c>
    </row>
    <row r="3" spans="1:16" ht="11.25" customHeight="1">
      <c r="A3" s="356"/>
      <c r="B3" s="322"/>
      <c r="C3" s="357" t="s">
        <v>1306</v>
      </c>
      <c r="D3" s="358">
        <v>20</v>
      </c>
      <c r="E3" s="359"/>
      <c r="F3" s="360"/>
      <c r="G3" s="322"/>
      <c r="H3" s="322"/>
      <c r="I3" s="322"/>
      <c r="J3" s="322"/>
      <c r="M3" s="291" t="s">
        <v>1183</v>
      </c>
      <c r="N3" s="291"/>
    </row>
    <row r="4" spans="1:16" ht="11.25" customHeight="1">
      <c r="A4" s="356"/>
      <c r="B4" s="322"/>
      <c r="C4" s="357" t="s">
        <v>1307</v>
      </c>
      <c r="D4" s="361">
        <v>30</v>
      </c>
      <c r="E4" s="359"/>
      <c r="F4" s="360"/>
      <c r="G4" s="322"/>
      <c r="H4" s="322"/>
      <c r="I4" s="322"/>
      <c r="J4" s="322"/>
      <c r="M4" s="291" t="s">
        <v>1184</v>
      </c>
      <c r="N4" s="304"/>
    </row>
    <row r="5" spans="1:16" ht="11.25" customHeight="1">
      <c r="A5" s="356"/>
      <c r="B5" s="322"/>
      <c r="C5" s="357" t="s">
        <v>1308</v>
      </c>
      <c r="D5" s="361">
        <v>10</v>
      </c>
      <c r="E5" s="359"/>
      <c r="F5" s="360"/>
      <c r="G5" s="322"/>
      <c r="H5" s="322"/>
      <c r="I5" s="322"/>
      <c r="J5" s="322"/>
      <c r="M5" s="291" t="s">
        <v>1185</v>
      </c>
      <c r="N5" s="304"/>
    </row>
    <row r="6" spans="1:16" ht="11.25" customHeight="1">
      <c r="A6" s="356"/>
      <c r="B6" s="322"/>
      <c r="C6" s="357" t="s">
        <v>1309</v>
      </c>
      <c r="D6" s="361">
        <v>50</v>
      </c>
      <c r="E6" s="359"/>
      <c r="F6" s="360"/>
      <c r="G6" s="322"/>
      <c r="H6" s="322"/>
      <c r="I6" s="322"/>
      <c r="J6" s="322"/>
      <c r="M6" s="291" t="s">
        <v>1186</v>
      </c>
      <c r="N6" s="304"/>
    </row>
    <row r="7" spans="1:16" ht="11.25" customHeight="1">
      <c r="A7" s="356"/>
      <c r="B7" s="322"/>
      <c r="C7" s="357" t="s">
        <v>1310</v>
      </c>
      <c r="D7" s="361">
        <v>100</v>
      </c>
      <c r="E7" s="359"/>
      <c r="F7" s="360"/>
      <c r="G7" s="322"/>
      <c r="H7" s="322"/>
      <c r="I7" s="322"/>
      <c r="J7" s="322"/>
      <c r="M7" s="291" t="s">
        <v>1187</v>
      </c>
      <c r="N7" s="304">
        <v>125</v>
      </c>
    </row>
    <row r="8" spans="1:16" ht="11.25" customHeight="1">
      <c r="A8" s="356"/>
      <c r="B8" s="322"/>
      <c r="C8" s="357" t="s">
        <v>1292</v>
      </c>
      <c r="D8" s="361">
        <v>100</v>
      </c>
      <c r="E8" s="359"/>
      <c r="F8" s="360"/>
      <c r="G8" s="322"/>
      <c r="H8" s="322"/>
      <c r="I8" s="322"/>
      <c r="J8" s="322"/>
      <c r="M8" s="291" t="s">
        <v>1188</v>
      </c>
      <c r="N8" s="304">
        <v>150</v>
      </c>
    </row>
    <row r="9" spans="1:16" ht="11.25" customHeight="1">
      <c r="A9" s="356"/>
      <c r="B9" s="322"/>
      <c r="C9" s="357" t="s">
        <v>1275</v>
      </c>
      <c r="D9" s="361">
        <v>10</v>
      </c>
      <c r="E9" s="359"/>
      <c r="F9" s="360"/>
      <c r="G9" s="322"/>
      <c r="H9" s="322"/>
      <c r="I9" s="322"/>
      <c r="J9" s="322"/>
      <c r="M9" s="291" t="s">
        <v>1189</v>
      </c>
      <c r="N9" s="304">
        <v>200</v>
      </c>
    </row>
    <row r="10" spans="1:16" ht="11.25" customHeight="1">
      <c r="A10" s="356"/>
      <c r="B10" s="322"/>
      <c r="C10" s="357" t="s">
        <v>1301</v>
      </c>
      <c r="D10" s="361">
        <v>30</v>
      </c>
      <c r="E10" s="359"/>
      <c r="F10" s="360"/>
      <c r="G10" s="322"/>
      <c r="H10" s="322"/>
      <c r="I10" s="322"/>
      <c r="J10" s="322"/>
      <c r="M10" s="291" t="s">
        <v>1302</v>
      </c>
      <c r="N10" s="304">
        <v>250</v>
      </c>
    </row>
    <row r="11" spans="1:16" ht="11.25" customHeight="1" thickBot="1">
      <c r="A11" s="356"/>
      <c r="B11" s="322"/>
      <c r="C11" s="357"/>
      <c r="D11" s="363"/>
      <c r="E11" s="362"/>
      <c r="F11" s="362"/>
      <c r="G11" s="322"/>
      <c r="H11" s="322"/>
      <c r="I11" s="322"/>
      <c r="J11" s="322"/>
      <c r="N11" s="305"/>
      <c r="O11" s="305"/>
    </row>
    <row r="12" spans="1:16" ht="14.25" customHeight="1" thickBot="1">
      <c r="A12" s="364"/>
      <c r="B12" s="365"/>
      <c r="C12" s="366"/>
      <c r="D12" s="367"/>
      <c r="E12" s="368" t="s">
        <v>1269</v>
      </c>
      <c r="F12" s="368" t="s">
        <v>1316</v>
      </c>
      <c r="G12" s="368" t="s">
        <v>1317</v>
      </c>
      <c r="H12" s="368" t="s">
        <v>1318</v>
      </c>
      <c r="I12" s="368" t="s">
        <v>1319</v>
      </c>
      <c r="J12" s="368" t="s">
        <v>1320</v>
      </c>
      <c r="M12" s="291"/>
      <c r="N12" s="304"/>
    </row>
    <row r="13" spans="1:16" ht="11.25" customHeight="1" outlineLevel="1" thickBot="1">
      <c r="A13" s="369" t="s">
        <v>1273</v>
      </c>
      <c r="B13" s="370"/>
      <c r="C13" s="371"/>
      <c r="D13" s="370" t="s">
        <v>1268</v>
      </c>
      <c r="E13" s="370" t="s">
        <v>1267</v>
      </c>
      <c r="F13" s="372"/>
      <c r="G13" s="373"/>
      <c r="H13" s="373"/>
      <c r="I13" s="373"/>
      <c r="J13" s="373"/>
      <c r="M13" s="291"/>
      <c r="N13" s="304"/>
    </row>
    <row r="14" spans="1:16" ht="11.25" customHeight="1" outlineLevel="1">
      <c r="A14" s="374" t="s">
        <v>1266</v>
      </c>
      <c r="B14" s="322"/>
      <c r="C14" s="375"/>
      <c r="D14" s="376">
        <v>0</v>
      </c>
      <c r="E14" s="377">
        <v>1</v>
      </c>
      <c r="F14" s="378">
        <f>D14*E14</f>
        <v>0</v>
      </c>
      <c r="G14" s="378">
        <f>D14*E14</f>
        <v>0</v>
      </c>
      <c r="H14" s="378">
        <f>D14*E14</f>
        <v>0</v>
      </c>
      <c r="I14" s="378">
        <f>D14*E14</f>
        <v>0</v>
      </c>
      <c r="J14" s="378">
        <f>D14*E14</f>
        <v>0</v>
      </c>
      <c r="M14" s="291"/>
      <c r="N14" s="304"/>
    </row>
    <row r="15" spans="1:16" ht="11.25" customHeight="1" outlineLevel="1">
      <c r="A15" s="374" t="s">
        <v>1270</v>
      </c>
      <c r="B15" s="322"/>
      <c r="C15" s="375"/>
      <c r="D15" s="379">
        <v>0</v>
      </c>
      <c r="E15" s="380">
        <v>0</v>
      </c>
      <c r="F15" s="378">
        <f>D15*E15</f>
        <v>0</v>
      </c>
      <c r="G15" s="378">
        <f>D15*E15</f>
        <v>0</v>
      </c>
      <c r="H15" s="378">
        <f>D15*E15</f>
        <v>0</v>
      </c>
      <c r="I15" s="378">
        <f>D15*E15</f>
        <v>0</v>
      </c>
      <c r="J15" s="378">
        <f>D15*E15</f>
        <v>0</v>
      </c>
      <c r="M15" s="291"/>
      <c r="N15" s="304"/>
    </row>
    <row r="16" spans="1:16" ht="11.25" customHeight="1" outlineLevel="1">
      <c r="A16" s="374" t="s">
        <v>1271</v>
      </c>
      <c r="B16" s="322"/>
      <c r="C16" s="375"/>
      <c r="D16" s="379">
        <v>0</v>
      </c>
      <c r="E16" s="380">
        <v>0</v>
      </c>
      <c r="F16" s="378">
        <f>D16*E16</f>
        <v>0</v>
      </c>
      <c r="G16" s="378">
        <f>D16*E16</f>
        <v>0</v>
      </c>
      <c r="H16" s="378">
        <f>D16*E16</f>
        <v>0</v>
      </c>
      <c r="I16" s="378">
        <f>D16*E16</f>
        <v>0</v>
      </c>
      <c r="J16" s="378">
        <f>D16*E16</f>
        <v>0</v>
      </c>
    </row>
    <row r="17" spans="1:10" ht="13.5" customHeight="1" outlineLevel="1" thickBot="1">
      <c r="A17" s="374" t="s">
        <v>1272</v>
      </c>
      <c r="B17" s="322"/>
      <c r="C17" s="375"/>
      <c r="D17" s="379">
        <v>0</v>
      </c>
      <c r="E17" s="380">
        <v>0</v>
      </c>
      <c r="F17" s="378">
        <f>D17*E17</f>
        <v>0</v>
      </c>
      <c r="G17" s="378">
        <f>D17*E17</f>
        <v>0</v>
      </c>
      <c r="H17" s="378">
        <f>D17*E17</f>
        <v>0</v>
      </c>
      <c r="I17" s="378">
        <f>D17*E17</f>
        <v>0</v>
      </c>
      <c r="J17" s="378">
        <f>D17*E17</f>
        <v>0</v>
      </c>
    </row>
    <row r="18" spans="1:10" s="384" customFormat="1" ht="14.25" outlineLevel="1" thickBot="1">
      <c r="A18" s="381" t="s">
        <v>1161</v>
      </c>
      <c r="B18" s="382"/>
      <c r="C18" s="382"/>
      <c r="D18" s="382"/>
      <c r="E18" s="382"/>
      <c r="F18" s="398">
        <f>SUM(F14:F17)</f>
        <v>0</v>
      </c>
      <c r="G18" s="383"/>
      <c r="H18" s="383"/>
      <c r="I18" s="383"/>
      <c r="J18" s="383"/>
    </row>
    <row r="19" spans="1:10" s="323" customFormat="1" ht="14.25" thickBot="1">
      <c r="A19" s="274" t="s">
        <v>1273</v>
      </c>
      <c r="B19" s="385"/>
      <c r="C19" s="385"/>
      <c r="D19" s="276"/>
      <c r="E19" s="276"/>
      <c r="F19" s="399">
        <f>F18</f>
        <v>0</v>
      </c>
      <c r="G19" s="346"/>
      <c r="H19" s="346"/>
      <c r="I19" s="346"/>
      <c r="J19" s="346"/>
    </row>
    <row r="20" spans="1:10" ht="14.25" customHeight="1" outlineLevel="1" thickBot="1">
      <c r="A20" s="386" t="s">
        <v>1274</v>
      </c>
      <c r="B20" s="387"/>
      <c r="C20" s="388" t="s">
        <v>1277</v>
      </c>
      <c r="D20" s="387"/>
      <c r="E20" s="388" t="s">
        <v>1303</v>
      </c>
      <c r="F20" s="388"/>
      <c r="G20" s="388"/>
      <c r="H20" s="388"/>
      <c r="I20" s="388"/>
      <c r="J20" s="388"/>
    </row>
    <row r="21" spans="1:10" ht="14.25" customHeight="1" outlineLevel="1">
      <c r="A21" s="374" t="s">
        <v>1293</v>
      </c>
      <c r="B21" s="389" t="s">
        <v>1123</v>
      </c>
      <c r="C21" s="390">
        <v>0.1</v>
      </c>
      <c r="D21" s="391">
        <v>20</v>
      </c>
      <c r="E21" s="392">
        <f t="shared" ref="E21:E28" si="0">D21*C21</f>
        <v>2</v>
      </c>
      <c r="F21" s="393">
        <f t="shared" ref="F21:F26" si="1">E21*250*8*150</f>
        <v>600000</v>
      </c>
      <c r="G21" s="393">
        <f t="shared" ref="G21:G26" si="2">E21*250*8*150</f>
        <v>600000</v>
      </c>
      <c r="H21" s="393">
        <f t="shared" ref="H21:H26" si="3">E21*250*8*150</f>
        <v>600000</v>
      </c>
      <c r="I21" s="393">
        <f t="shared" ref="I21:I26" si="4">E21*250*8*150</f>
        <v>600000</v>
      </c>
      <c r="J21" s="393">
        <f t="shared" ref="J21:J26" si="5">E21*250*8*150</f>
        <v>600000</v>
      </c>
    </row>
    <row r="22" spans="1:10" ht="14.25" customHeight="1" outlineLevel="1">
      <c r="A22" s="374" t="s">
        <v>1294</v>
      </c>
      <c r="B22" s="389" t="s">
        <v>1123</v>
      </c>
      <c r="C22" s="402">
        <v>0.05</v>
      </c>
      <c r="D22" s="391">
        <v>30</v>
      </c>
      <c r="E22" s="392">
        <f t="shared" si="0"/>
        <v>1.5</v>
      </c>
      <c r="F22" s="393">
        <f t="shared" si="1"/>
        <v>450000</v>
      </c>
      <c r="G22" s="393">
        <f t="shared" si="2"/>
        <v>450000</v>
      </c>
      <c r="H22" s="393">
        <f t="shared" si="3"/>
        <v>450000</v>
      </c>
      <c r="I22" s="393">
        <f t="shared" si="4"/>
        <v>450000</v>
      </c>
      <c r="J22" s="393">
        <f t="shared" si="5"/>
        <v>450000</v>
      </c>
    </row>
    <row r="23" spans="1:10" ht="14.25" customHeight="1" outlineLevel="1">
      <c r="A23" s="374" t="s">
        <v>1295</v>
      </c>
      <c r="B23" s="389" t="s">
        <v>1123</v>
      </c>
      <c r="C23" s="402">
        <v>0.05</v>
      </c>
      <c r="D23" s="391">
        <v>10</v>
      </c>
      <c r="E23" s="392">
        <f t="shared" si="0"/>
        <v>0.5</v>
      </c>
      <c r="F23" s="393">
        <f t="shared" si="1"/>
        <v>150000</v>
      </c>
      <c r="G23" s="393">
        <f t="shared" si="2"/>
        <v>150000</v>
      </c>
      <c r="H23" s="393">
        <f t="shared" si="3"/>
        <v>150000</v>
      </c>
      <c r="I23" s="393">
        <f t="shared" si="4"/>
        <v>150000</v>
      </c>
      <c r="J23" s="393">
        <f t="shared" si="5"/>
        <v>150000</v>
      </c>
    </row>
    <row r="24" spans="1:10" ht="14.25" customHeight="1" outlineLevel="1">
      <c r="A24" s="374" t="s">
        <v>1296</v>
      </c>
      <c r="B24" s="389" t="s">
        <v>1123</v>
      </c>
      <c r="C24" s="402">
        <v>0.05</v>
      </c>
      <c r="D24" s="391">
        <v>50</v>
      </c>
      <c r="E24" s="392">
        <f t="shared" si="0"/>
        <v>2.5</v>
      </c>
      <c r="F24" s="393">
        <f t="shared" si="1"/>
        <v>750000</v>
      </c>
      <c r="G24" s="393">
        <f t="shared" si="2"/>
        <v>750000</v>
      </c>
      <c r="H24" s="393">
        <f t="shared" si="3"/>
        <v>750000</v>
      </c>
      <c r="I24" s="393">
        <f t="shared" si="4"/>
        <v>750000</v>
      </c>
      <c r="J24" s="393">
        <f t="shared" si="5"/>
        <v>750000</v>
      </c>
    </row>
    <row r="25" spans="1:10" ht="14.25" customHeight="1" outlineLevel="1">
      <c r="A25" s="374" t="s">
        <v>1299</v>
      </c>
      <c r="B25" s="389" t="s">
        <v>1123</v>
      </c>
      <c r="C25" s="402">
        <v>0.01</v>
      </c>
      <c r="D25" s="391">
        <v>100</v>
      </c>
      <c r="E25" s="392">
        <f t="shared" si="0"/>
        <v>1</v>
      </c>
      <c r="F25" s="393">
        <f t="shared" si="1"/>
        <v>300000</v>
      </c>
      <c r="G25" s="393">
        <f t="shared" si="2"/>
        <v>300000</v>
      </c>
      <c r="H25" s="393">
        <f t="shared" si="3"/>
        <v>300000</v>
      </c>
      <c r="I25" s="393">
        <f t="shared" si="4"/>
        <v>300000</v>
      </c>
      <c r="J25" s="393">
        <f t="shared" si="5"/>
        <v>300000</v>
      </c>
    </row>
    <row r="26" spans="1:10" ht="14.25" customHeight="1" outlineLevel="1">
      <c r="A26" s="374" t="s">
        <v>1297</v>
      </c>
      <c r="B26" s="389" t="s">
        <v>1123</v>
      </c>
      <c r="C26" s="402">
        <v>0.02</v>
      </c>
      <c r="D26" s="391">
        <v>100</v>
      </c>
      <c r="E26" s="392">
        <f t="shared" si="0"/>
        <v>2</v>
      </c>
      <c r="F26" s="393">
        <f t="shared" si="1"/>
        <v>600000</v>
      </c>
      <c r="G26" s="393">
        <f t="shared" si="2"/>
        <v>600000</v>
      </c>
      <c r="H26" s="393">
        <f t="shared" si="3"/>
        <v>600000</v>
      </c>
      <c r="I26" s="393">
        <f t="shared" si="4"/>
        <v>600000</v>
      </c>
      <c r="J26" s="393">
        <f t="shared" si="5"/>
        <v>600000</v>
      </c>
    </row>
    <row r="27" spans="1:10" ht="14.25" customHeight="1" outlineLevel="1">
      <c r="A27" s="374" t="s">
        <v>1304</v>
      </c>
      <c r="B27" s="389" t="s">
        <v>1122</v>
      </c>
      <c r="C27" s="402">
        <v>0.1</v>
      </c>
      <c r="D27" s="403">
        <v>9.5</v>
      </c>
      <c r="E27" s="392">
        <f t="shared" si="0"/>
        <v>0.95000000000000007</v>
      </c>
      <c r="F27" s="393">
        <f>E27*250*8*200</f>
        <v>380000.00000000006</v>
      </c>
      <c r="G27" s="393">
        <f>E27*250*8*200</f>
        <v>380000.00000000006</v>
      </c>
      <c r="H27" s="393">
        <f>E27*250*8*200</f>
        <v>380000.00000000006</v>
      </c>
      <c r="I27" s="393">
        <f>E27*250*8*200</f>
        <v>380000.00000000006</v>
      </c>
      <c r="J27" s="393">
        <f>E27*250*8*200</f>
        <v>380000.00000000006</v>
      </c>
    </row>
    <row r="28" spans="1:10" ht="13.5" customHeight="1" outlineLevel="1" thickBot="1">
      <c r="A28" s="374" t="s">
        <v>1305</v>
      </c>
      <c r="B28" s="389" t="s">
        <v>1121</v>
      </c>
      <c r="C28" s="394">
        <v>3.3000000000000002E-2</v>
      </c>
      <c r="D28" s="403">
        <v>10.5</v>
      </c>
      <c r="E28" s="392">
        <f t="shared" si="0"/>
        <v>0.34650000000000003</v>
      </c>
      <c r="F28" s="393">
        <f>E28*250*8*250</f>
        <v>173250.00000000003</v>
      </c>
      <c r="G28" s="393">
        <f>E28*250*8*250</f>
        <v>173250.00000000003</v>
      </c>
      <c r="H28" s="393">
        <f>E28*250*8*250</f>
        <v>173250.00000000003</v>
      </c>
      <c r="I28" s="393">
        <f>E28*250*8*250</f>
        <v>173250.00000000003</v>
      </c>
      <c r="J28" s="393">
        <f>E28*250*8*250</f>
        <v>173250.00000000003</v>
      </c>
    </row>
    <row r="29" spans="1:10" s="384" customFormat="1" ht="12.75" customHeight="1" outlineLevel="1" thickBot="1">
      <c r="A29" s="395" t="s">
        <v>1290</v>
      </c>
      <c r="B29" s="396"/>
      <c r="C29" s="396"/>
      <c r="D29" s="396"/>
      <c r="E29" s="397">
        <f t="shared" ref="E29:J29" si="6">SUM(E21:E28)</f>
        <v>10.7965</v>
      </c>
      <c r="F29" s="400">
        <f t="shared" si="6"/>
        <v>3403250</v>
      </c>
      <c r="G29" s="400">
        <f t="shared" si="6"/>
        <v>3403250</v>
      </c>
      <c r="H29" s="400">
        <f t="shared" si="6"/>
        <v>3403250</v>
      </c>
      <c r="I29" s="400">
        <f t="shared" si="6"/>
        <v>3403250</v>
      </c>
      <c r="J29" s="400">
        <f t="shared" si="6"/>
        <v>3403250</v>
      </c>
    </row>
  </sheetData>
  <mergeCells count="2">
    <mergeCell ref="A1:H1"/>
    <mergeCell ref="I1:P1"/>
  </mergeCells>
  <phoneticPr fontId="38" type="noConversion"/>
  <dataValidations count="3">
    <dataValidation type="list" allowBlank="1" showInputMessage="1" showErrorMessage="1" sqref="B29">
      <formula1>RateCode</formula1>
    </dataValidation>
    <dataValidation allowBlank="1" showInputMessage="1" showErrorMessage="1" prompt="IBM Software products have 1 year's maintenance included in purchase price - do not use these rows for 3rd party products - use rows 26-37" sqref="A18"/>
    <dataValidation type="list" allowBlank="1" showInputMessage="1" showErrorMessage="1" sqref="B21:B28">
      <formula1>$M$3:$M$10</formula1>
    </dataValidation>
  </dataValidation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70</vt:i4>
      </vt:variant>
    </vt:vector>
  </HeadingPairs>
  <TitlesOfParts>
    <vt:vector size="85" baseType="lpstr">
      <vt:lpstr>汇总</vt:lpstr>
      <vt:lpstr>硬件</vt:lpstr>
      <vt:lpstr>软件</vt:lpstr>
      <vt:lpstr>执行成本</vt:lpstr>
      <vt:lpstr>Lookups</vt:lpstr>
      <vt:lpstr>Call Center运营支持</vt:lpstr>
      <vt:lpstr>应用运营支持</vt:lpstr>
      <vt:lpstr>IDC基础设施运营支持</vt:lpstr>
      <vt:lpstr>Comments</vt:lpstr>
      <vt:lpstr>Lookups REF</vt:lpstr>
      <vt:lpstr>Lookups function</vt:lpstr>
      <vt:lpstr>labour</vt:lpstr>
      <vt:lpstr>types</vt:lpstr>
      <vt:lpstr>non labour</vt:lpstr>
      <vt:lpstr>band</vt:lpstr>
      <vt:lpstr>_SL2009</vt:lpstr>
      <vt:lpstr>_Yr1</vt:lpstr>
      <vt:lpstr>_YR10</vt:lpstr>
      <vt:lpstr>_YR2</vt:lpstr>
      <vt:lpstr>_YR3</vt:lpstr>
      <vt:lpstr>_YR4</vt:lpstr>
      <vt:lpstr>_YR5</vt:lpstr>
      <vt:lpstr>_YR6</vt:lpstr>
      <vt:lpstr>_YR7</vt:lpstr>
      <vt:lpstr>_YR8</vt:lpstr>
      <vt:lpstr>_YR9</vt:lpstr>
      <vt:lpstr>AUXRATE</vt:lpstr>
      <vt:lpstr>band</vt:lpstr>
      <vt:lpstr>BaseMths</vt:lpstr>
      <vt:lpstr>BILLABLE_HRS</vt:lpstr>
      <vt:lpstr>BUSTYPE</vt:lpstr>
      <vt:lpstr>CANXRATE</vt:lpstr>
      <vt:lpstr>CHXRATE</vt:lpstr>
      <vt:lpstr>Clientinfo</vt:lpstr>
      <vt:lpstr>Clients</vt:lpstr>
      <vt:lpstr>CountryCode</vt:lpstr>
      <vt:lpstr>CSC_FARM</vt:lpstr>
      <vt:lpstr>currencies</vt:lpstr>
      <vt:lpstr>EUROXRATE</vt:lpstr>
      <vt:lpstr>FOREXRATECODE</vt:lpstr>
      <vt:lpstr>FOREXRATETABLE</vt:lpstr>
      <vt:lpstr>FTE_Rate</vt:lpstr>
      <vt:lpstr>Function</vt:lpstr>
      <vt:lpstr>HrsTable</vt:lpstr>
      <vt:lpstr>HWLeaseNames</vt:lpstr>
      <vt:lpstr>HWLeaseRates</vt:lpstr>
      <vt:lpstr>HWType</vt:lpstr>
      <vt:lpstr>HWTypeTab</vt:lpstr>
      <vt:lpstr>INXRATE</vt:lpstr>
      <vt:lpstr>labour</vt:lpstr>
      <vt:lpstr>labourSC</vt:lpstr>
      <vt:lpstr>MGR</vt:lpstr>
      <vt:lpstr>MthsOngoing</vt:lpstr>
      <vt:lpstr>multicountry</vt:lpstr>
      <vt:lpstr>NEDXRATE</vt:lpstr>
      <vt:lpstr>New_Farm</vt:lpstr>
      <vt:lpstr>nonlabour</vt:lpstr>
      <vt:lpstr>nonlabourSC</vt:lpstr>
      <vt:lpstr>OCC</vt:lpstr>
      <vt:lpstr>otc_tot</vt:lpstr>
      <vt:lpstr>Productivity</vt:lpstr>
      <vt:lpstr>ProjectType</vt:lpstr>
      <vt:lpstr>ProjectTypes</vt:lpstr>
      <vt:lpstr>RateCode</vt:lpstr>
      <vt:lpstr>RateCost</vt:lpstr>
      <vt:lpstr>RateFTE</vt:lpstr>
      <vt:lpstr>rectypes</vt:lpstr>
      <vt:lpstr>RiskRating</vt:lpstr>
      <vt:lpstr>RiskTable</vt:lpstr>
      <vt:lpstr>RSPROD</vt:lpstr>
      <vt:lpstr>SAXRATE</vt:lpstr>
      <vt:lpstr>SEC_FREQ_CUST</vt:lpstr>
      <vt:lpstr>SEC_FREQ_Defaults</vt:lpstr>
      <vt:lpstr>SEC_FREQ_Overrides</vt:lpstr>
      <vt:lpstr>SGXRATE</vt:lpstr>
      <vt:lpstr>SLNLC2009</vt:lpstr>
      <vt:lpstr>SPOT</vt:lpstr>
      <vt:lpstr>SWType</vt:lpstr>
      <vt:lpstr>SWTypeTab</vt:lpstr>
      <vt:lpstr>UKXRATE</vt:lpstr>
      <vt:lpstr>US_RATECODE</vt:lpstr>
      <vt:lpstr>USTABLE</vt:lpstr>
      <vt:lpstr>USXRATE</vt:lpstr>
      <vt:lpstr>YesorNo</vt:lpstr>
      <vt:lpstr>YrsOngoing</vt:lpstr>
    </vt:vector>
  </TitlesOfParts>
  <Company>EFUT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NWS Cost Model</dc:subject>
  <dc:creator>Tony Liu</dc:creator>
  <cp:lastModifiedBy>Tong Liu</cp:lastModifiedBy>
  <cp:lastPrinted>2009-05-26T11:22:05Z</cp:lastPrinted>
  <dcterms:created xsi:type="dcterms:W3CDTF">1998-05-20T22:25:33Z</dcterms:created>
  <dcterms:modified xsi:type="dcterms:W3CDTF">2014-09-17T07:52:30Z</dcterms:modified>
  <cp:category>Cost Model</cp:category>
</cp:coreProperties>
</file>